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'Sheet2'!$A$1:$K$132</definedName>
  </definedNames>
  <calcPr fullCalcOnLoad="1"/>
</workbook>
</file>

<file path=xl/sharedStrings.xml><?xml version="1.0" encoding="utf-8"?>
<sst xmlns="http://schemas.openxmlformats.org/spreadsheetml/2006/main" count="394" uniqueCount="387">
  <si>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</si>
  <si>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</si>
  <si>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</si>
  <si>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</si>
  <si>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000  1  05  02010  02  0000  110</t>
  </si>
  <si>
    <t>1,1485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</si>
  <si>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</si>
  <si>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</si>
  <si>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</si>
  <si>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</si>
  <si>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</si>
  <si>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</si>
  <si>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</si>
  <si>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</si>
  <si>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</si>
  <si>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</si>
  <si>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</si>
  <si>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</si>
  <si>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000  2  02  01001  05  0000  151</t>
  </si>
  <si>
    <t>000  2  19  00000  00  0000  000</t>
  </si>
  <si>
    <t>ПРОЧИЕ НЕНАЛОГОВЫЕ ДОХОДЫ</t>
  </si>
  <si>
    <t>1,2105</t>
  </si>
  <si>
    <t>1,1619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</si>
  <si>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</si>
  <si>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</si>
  <si>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</si>
  <si>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</si>
  <si>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</si>
  <si>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</si>
  <si>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</si>
  <si>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</si>
  <si>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</si>
  <si>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</si>
  <si>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</si>
  <si>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</si>
  <si>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</si>
  <si>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</si>
  <si>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</si>
  <si>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</si>
  <si>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</si>
  <si>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</si>
  <si>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1,940</t>
  </si>
  <si>
    <t>1,97</t>
  </si>
  <si>
    <t>000  1  17  05050  10  0000  180</t>
  </si>
  <si>
    <t>1,1481</t>
  </si>
  <si>
    <t>1,19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</si>
  <si>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</si>
  <si>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</si>
  <si>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</si>
  <si>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</si>
  <si>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</si>
  <si>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</si>
  <si>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</si>
  <si>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1,723</t>
  </si>
  <si>
    <t>НАЛОГИ НА СОВОКУПНЫЙ ДОХОД</t>
  </si>
  <si>
    <t>000  1  01  02000  01  0000  110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</si>
  <si>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</si>
  <si>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</si>
  <si>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</si>
  <si>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</si>
  <si>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</si>
  <si>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</si>
  <si>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000  1  05  03020  01  0000  110</t>
  </si>
  <si>
    <t>Прочие неналоговые доходы бюджетов муниципальных районов</t>
  </si>
  <si>
    <t>1,963</t>
  </si>
  <si>
    <t>000  2  02  03015  00  0000  151</t>
  </si>
  <si>
    <t>1,2166</t>
  </si>
  <si>
    <t>Плата за выбросы загрязняющих веществ в атмосферный воздух передвижными объектами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</si>
  <si>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</si>
  <si>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</si>
  <si>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</si>
  <si>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</si>
  <si>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</si>
  <si>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</si>
  <si>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</si>
  <si>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</si>
  <si>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</si>
  <si>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</si>
  <si>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</si>
  <si>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</si>
  <si>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</si>
  <si>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</si>
  <si>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</si>
  <si>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</si>
  <si>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</si>
  <si>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1,101</t>
  </si>
  <si>
    <t>1,1039</t>
  </si>
  <si>
    <t>1,215</t>
  </si>
  <si>
    <t>000  1  14  02053  10  0000  410</t>
  </si>
  <si>
    <t>Государственная пошлина по делам, рассматриваемым в судах общей юрисдикции, мировыми судьями</t>
  </si>
  <si>
    <t>1,661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</si>
  <si>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</si>
  <si>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000  1  16  00000  00  0000  000</t>
  </si>
  <si>
    <t>000  1  06  06010  00  0000  110</t>
  </si>
  <si>
    <t>Плата за размещение отходов производства и потребления</t>
  </si>
  <si>
    <t>000  1  05  02000  02  0000  110</t>
  </si>
  <si>
    <t>000  2  19  05000  05  0000  151</t>
  </si>
  <si>
    <t>000  1  16  25000  00  0000  140</t>
  </si>
  <si>
    <t>1,1622</t>
  </si>
  <si>
    <t>1,1044</t>
  </si>
  <si>
    <t>1,546</t>
  </si>
  <si>
    <t>000  1  06  01030  10  0000  110</t>
  </si>
  <si>
    <t>1,117</t>
  </si>
  <si>
    <t>000  2  02  03026  05  0000  151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</si>
  <si>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</si>
  <si>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</si>
  <si>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</si>
  <si>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</si>
  <si>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</si>
  <si>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</si>
  <si>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</si>
  <si>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</si>
  <si>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</si>
  <si>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</si>
  <si>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</si>
  <si>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</si>
  <si>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</si>
  <si>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</si>
  <si>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</si>
  <si>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</si>
  <si>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</si>
  <si>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</si>
  <si>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</si>
  <si>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</si>
  <si>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</si>
  <si>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</si>
  <si>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</si>
  <si>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</si>
  <si>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</si>
  <si>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</si>
  <si>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000  2  02  03026  00  0000  151</t>
  </si>
  <si>
    <t>000  1  14  02050  05  0000  410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</si>
  <si>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</si>
  <si>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</si>
  <si>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</si>
  <si>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</si>
  <si>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</si>
  <si>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</si>
  <si>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</si>
  <si>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</si>
  <si>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</si>
  <si>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Дата распечатки: 10.02.2012 13:58:14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</si>
  <si>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</si>
  <si>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</si>
  <si>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</si>
  <si>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</si>
  <si>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</si>
  <si>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</si>
  <si>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</si>
  <si>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</si>
  <si>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</si>
  <si>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</si>
  <si>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</si>
  <si>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</si>
  <si>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1,1511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</si>
  <si>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</si>
  <si>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</si>
  <si>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</si>
  <si>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</si>
  <si>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</si>
  <si>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</si>
  <si>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</si>
  <si>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1,1497</t>
  </si>
  <si>
    <t>1,716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</si>
  <si>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</si>
  <si>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</si>
  <si>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</si>
  <si>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</si>
  <si>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</si>
  <si>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</si>
  <si>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</si>
  <si>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</si>
  <si>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</si>
  <si>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1,500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</si>
  <si>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</si>
  <si>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</si>
  <si>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</si>
  <si>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</si>
  <si>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</si>
  <si>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</si>
  <si>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Дотации бюджетам поселений на выравнивание бюджетной обеспеченности</t>
  </si>
  <si>
    <t>1,20</t>
  </si>
  <si>
    <t>1,1749</t>
  </si>
  <si>
    <t>3  3 Консолидированный  План на год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</si>
  <si>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</si>
  <si>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</si>
  <si>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</si>
  <si>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</si>
  <si>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</si>
  <si>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</si>
  <si>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1,1508</t>
  </si>
  <si>
    <t>1,578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</si>
  <si>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</si>
  <si>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000  2  02  03999  05  0000  151</t>
  </si>
  <si>
    <t>ШТРАФЫ, САНКЦИИ, ВОЗМЕЩЕНИЕ УЩЕРБА</t>
  </si>
  <si>
    <t>000  1  05  02020  02  0000  110</t>
  </si>
  <si>
    <t>1,849</t>
  </si>
  <si>
    <t>1,102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</si>
  <si>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</si>
  <si>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</si>
  <si>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</si>
  <si>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</si>
  <si>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</si>
  <si>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</si>
  <si>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</si>
  <si>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</si>
  <si>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</si>
  <si>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</si>
  <si>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1,1692</t>
  </si>
  <si>
    <t>1,964</t>
  </si>
  <si>
    <t>Невыясненные поступления</t>
  </si>
  <si>
    <t>Оператор:  Никитина Ольга Викторовна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</si>
  <si>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</si>
  <si>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</si>
  <si>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</si>
  <si>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</si>
  <si>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</si>
  <si>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</si>
  <si>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</si>
  <si>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</si>
  <si>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</si>
  <si>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</si>
  <si>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</si>
  <si>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</si>
  <si>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1,2104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</si>
  <si>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</si>
  <si>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</si>
  <si>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</si>
  <si>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</si>
  <si>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</si>
  <si>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</si>
  <si>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</si>
  <si>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</si>
  <si>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</si>
  <si>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</si>
  <si>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</si>
  <si>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</si>
  <si>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</si>
  <si>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</si>
  <si>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</si>
  <si>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</si>
  <si>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</si>
  <si>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</si>
  <si>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</si>
  <si>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1,1521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</si>
  <si>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</si>
  <si>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</si>
  <si>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</si>
  <si>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</si>
  <si>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</si>
  <si>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</si>
  <si>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</si>
  <si>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</si>
  <si>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</si>
  <si>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</si>
  <si>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</si>
  <si>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</si>
  <si>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</si>
  <si>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</si>
  <si>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</si>
  <si>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</si>
  <si>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</si>
  <si>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</si>
  <si>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</si>
  <si>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</si>
  <si>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1,664</t>
  </si>
  <si>
    <t>1,1500</t>
  </si>
  <si>
    <t>000  1  06  06023  10  0000  110</t>
  </si>
  <si>
    <t>1,104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</si>
  <si>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</si>
  <si>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</si>
  <si>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</si>
  <si>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</si>
  <si>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</si>
  <si>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</si>
  <si>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</si>
  <si>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</si>
  <si>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 xml:space="preserve"> </t>
  </si>
  <si>
    <t>000  2  02  03020  00  0000  151</t>
  </si>
  <si>
    <t>1,121</t>
  </si>
  <si>
    <t>000  1  08  04000  01  0000  110</t>
  </si>
  <si>
    <t>000  1  09  01000  00  0000  110</t>
  </si>
  <si>
    <t>1,1744</t>
  </si>
  <si>
    <t>1,1518</t>
  </si>
  <si>
    <t>000  1  06  06020  00  0000  110</t>
  </si>
  <si>
    <t>1,1516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</si>
  <si>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</si>
  <si>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</si>
  <si>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</si>
  <si>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</si>
  <si>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</si>
  <si>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</si>
  <si>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</si>
  <si>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1,619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</si>
  <si>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</si>
  <si>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</si>
  <si>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</si>
  <si>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</si>
  <si>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</si>
  <si>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</si>
  <si>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</si>
  <si>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1,1045</t>
  </si>
  <si>
    <t>1,2171</t>
  </si>
  <si>
    <t>1,1688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</si>
  <si>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</si>
  <si>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</si>
  <si>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</si>
  <si>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</si>
  <si>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</si>
  <si>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</si>
  <si>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Невыясненные поступления, зачисляемые в бюджеты поселений</t>
  </si>
  <si>
    <t>000  2  02  03027  05  0000  151</t>
  </si>
  <si>
    <t>000  1  16  03000  00  0000  140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</si>
  <si>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</si>
  <si>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</si>
  <si>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</si>
  <si>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</si>
  <si>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</si>
  <si>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</si>
  <si>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</si>
  <si>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</si>
  <si>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</si>
  <si>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</si>
  <si>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</si>
  <si>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</si>
  <si>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1,770</t>
  </si>
  <si>
    <t>000  2  02  04025  00  0000  151</t>
  </si>
  <si>
    <t>000  2  02  03055  00  0000  151</t>
  </si>
  <si>
    <t>000  2  02  01999  10  0000  151</t>
  </si>
  <si>
    <t>1,501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</si>
  <si>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</si>
  <si>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000  1  11  05000  00  0000  120</t>
  </si>
  <si>
    <t>1,2094</t>
  </si>
  <si>
    <t>1,1043</t>
  </si>
  <si>
    <t>Код показателя</t>
  </si>
  <si>
    <t>000  2  07  05000  05  0000  180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</si>
  <si>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</si>
  <si>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</si>
  <si>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</si>
  <si>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</si>
  <si>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</si>
  <si>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</si>
  <si>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</si>
  <si>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1,1748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</si>
  <si>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</si>
  <si>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</si>
  <si>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</si>
  <si>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</si>
  <si>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</si>
  <si>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</si>
  <si>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</si>
  <si>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</si>
  <si>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1,84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</si>
  <si>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</si>
  <si>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</si>
  <si>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</si>
  <si>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</si>
  <si>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</si>
  <si>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000  2  02  03055  05  0000  151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</si>
  <si>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</si>
  <si>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</si>
  <si>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</si>
  <si>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</si>
  <si>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</si>
  <si>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</si>
  <si>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</si>
  <si>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</si>
  <si>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</si>
  <si>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</si>
  <si>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</si>
  <si>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</si>
  <si>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</si>
  <si>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</si>
  <si>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1,611</t>
  </si>
  <si>
    <t>1,1729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</si>
  <si>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</si>
  <si>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</si>
  <si>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</si>
  <si>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</si>
  <si>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1,545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</si>
  <si>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</si>
  <si>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1,1727</t>
  </si>
  <si>
    <t>Доходы бюджета - отчет на 01.02.2012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</si>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</sst>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="60" workbookViewId="0" topLeftCell="A103">
      <selection activeCell="G133" sqref="G133"/>
    </sheetView>
  </sheetViews>
  <sheetFormatPr defaultColWidth="9.140625" defaultRowHeight="12.75"/>
  <cols>
    <col min="1" max="1" width="7.8515625" style="0" customWidth="1"/>
    <col min="2" max="2" width="21.421875" style="0" customWidth="1"/>
    <col min="3" max="3" width="23.00390625" style="0" customWidth="1"/>
    <col min="4" max="4" width="10.7109375" style="0" customWidth="1"/>
    <col min="5" max="5" width="10.140625" style="0" customWidth="1"/>
    <col min="6" max="7" width="10.7109375" style="0" customWidth="1"/>
    <col min="8" max="13" width="10.140625" style="0" customWidth="1"/>
  </cols>
  <sheetData>
    <row r="1" spans="1:13" ht="12.75" customHeight="1">
      <c r="A1" s="5" t="s">
        <v>141</v>
      </c>
      <c r="B1" s="6"/>
      <c r="C1" s="7" t="s">
        <v>257</v>
      </c>
      <c r="D1" s="6"/>
      <c r="E1" s="6"/>
      <c r="F1" s="6"/>
      <c r="G1" s="8" t="s">
        <v>324</v>
      </c>
      <c r="H1" s="6"/>
      <c r="I1" s="6"/>
      <c r="J1" s="6"/>
      <c r="K1" s="6"/>
      <c r="L1" s="8" t="s">
        <v>324</v>
      </c>
      <c r="M1" s="6"/>
    </row>
    <row r="2" spans="1:13" ht="12.75" customHeight="1">
      <c r="A2" s="5" t="s">
        <v>211</v>
      </c>
      <c r="B2" s="6"/>
      <c r="C2" s="10" t="s">
        <v>382</v>
      </c>
      <c r="D2" s="6"/>
      <c r="E2" s="6"/>
      <c r="F2" s="6"/>
      <c r="G2" s="8" t="s">
        <v>186</v>
      </c>
      <c r="H2" s="6"/>
      <c r="I2" s="6"/>
      <c r="J2" s="6"/>
      <c r="K2" s="6"/>
      <c r="L2" s="8" t="s">
        <v>186</v>
      </c>
      <c r="M2" s="6"/>
    </row>
    <row r="3" spans="1:13" ht="12.75">
      <c r="A3" s="5" t="s">
        <v>277</v>
      </c>
      <c r="B3" s="6"/>
      <c r="C3" s="7" t="s">
        <v>1</v>
      </c>
      <c r="D3" s="6"/>
      <c r="E3" s="6"/>
      <c r="F3" s="6"/>
      <c r="G3" s="5" t="s">
        <v>277</v>
      </c>
      <c r="H3" s="6"/>
      <c r="I3" s="6"/>
      <c r="J3" s="6"/>
      <c r="K3" s="6"/>
      <c r="L3" s="5" t="s">
        <v>277</v>
      </c>
      <c r="M3" s="6"/>
    </row>
    <row r="4" spans="1:11" ht="72">
      <c r="A4" s="1" t="s">
        <v>70</v>
      </c>
      <c r="B4" s="1" t="s">
        <v>334</v>
      </c>
      <c r="C4" s="1" t="s">
        <v>220</v>
      </c>
      <c r="D4" s="1" t="s">
        <v>183</v>
      </c>
      <c r="E4" s="1" t="s">
        <v>111</v>
      </c>
      <c r="F4" s="1" t="s">
        <v>59</v>
      </c>
      <c r="G4" s="1" t="s">
        <v>122</v>
      </c>
      <c r="H4" s="1" t="s">
        <v>33</v>
      </c>
      <c r="I4" s="1" t="s">
        <v>272</v>
      </c>
      <c r="J4" s="1" t="s">
        <v>10</v>
      </c>
      <c r="K4" s="1" t="s">
        <v>58</v>
      </c>
    </row>
    <row r="5" spans="1:11" ht="12.75">
      <c r="A5" s="2" t="s">
        <v>323</v>
      </c>
      <c r="B5" s="3" t="s">
        <v>264</v>
      </c>
      <c r="C5" s="3" t="s">
        <v>227</v>
      </c>
      <c r="D5" s="4">
        <f>ROUND(465349400,2)</f>
        <v>465349400</v>
      </c>
      <c r="E5" s="4">
        <f>ROUND(62370300,2)</f>
        <v>62370300</v>
      </c>
      <c r="F5" s="4">
        <f>ROUND(386722000,2)</f>
        <v>386722000</v>
      </c>
      <c r="G5" s="4">
        <f>ROUND(140997700,2)</f>
        <v>140997700</v>
      </c>
      <c r="H5" s="4">
        <f>ROUND(30642189.85,2)</f>
        <v>30642189.85</v>
      </c>
      <c r="I5" s="4">
        <f>ROUND(1862900,2)</f>
        <v>1862900</v>
      </c>
      <c r="J5" s="4">
        <f>ROUND(25201538.05,2)</f>
        <v>25201538.05</v>
      </c>
      <c r="K5" s="4">
        <f>ROUND(7303551.8,2)</f>
        <v>7303551.8</v>
      </c>
    </row>
    <row r="6" spans="1:11" ht="18.75">
      <c r="A6" s="2" t="s">
        <v>148</v>
      </c>
      <c r="B6" s="3" t="s">
        <v>49</v>
      </c>
      <c r="C6" s="3" t="s">
        <v>226</v>
      </c>
      <c r="D6" s="4">
        <f>ROUND(172277400,2)</f>
        <v>172277400</v>
      </c>
      <c r="E6" s="4">
        <f aca="true" t="shared" si="0" ref="E6:E37">ROUND(0,2)</f>
        <v>0</v>
      </c>
      <c r="F6" s="4">
        <f>ROUND(95608900,2)</f>
        <v>95608900</v>
      </c>
      <c r="G6" s="4">
        <f>ROUND(76668500,2)</f>
        <v>76668500</v>
      </c>
      <c r="H6" s="4">
        <f>ROUND(11751364.64,2)</f>
        <v>11751364.64</v>
      </c>
      <c r="I6" s="4">
        <f aca="true" t="shared" si="1" ref="I6:I37">ROUND(0,2)</f>
        <v>0</v>
      </c>
      <c r="J6" s="4">
        <f>ROUND(6310712.84,2)</f>
        <v>6310712.84</v>
      </c>
      <c r="K6" s="4">
        <f>ROUND(5440651.8,2)</f>
        <v>5440651.8</v>
      </c>
    </row>
    <row r="7" spans="1:11" ht="12.75">
      <c r="A7" s="2" t="s">
        <v>363</v>
      </c>
      <c r="B7" s="3" t="s">
        <v>291</v>
      </c>
      <c r="C7" s="3" t="s">
        <v>362</v>
      </c>
      <c r="D7" s="4">
        <f>ROUND(73838500,2)</f>
        <v>73838500</v>
      </c>
      <c r="E7" s="4">
        <f t="shared" si="0"/>
        <v>0</v>
      </c>
      <c r="F7" s="4">
        <f>ROUND(61323500,2)</f>
        <v>61323500</v>
      </c>
      <c r="G7" s="4">
        <f>ROUND(12515000,2)</f>
        <v>12515000</v>
      </c>
      <c r="H7" s="4">
        <f>ROUND(4339583.97,2)</f>
        <v>4339583.97</v>
      </c>
      <c r="I7" s="4">
        <f t="shared" si="1"/>
        <v>0</v>
      </c>
      <c r="J7" s="4">
        <f>ROUND(3604061.26,2)</f>
        <v>3604061.26</v>
      </c>
      <c r="K7" s="4">
        <f>ROUND(735522.71,2)</f>
        <v>735522.71</v>
      </c>
    </row>
    <row r="8" spans="1:11" ht="12.75">
      <c r="A8" s="2" t="s">
        <v>202</v>
      </c>
      <c r="B8" s="3" t="s">
        <v>55</v>
      </c>
      <c r="C8" s="3" t="s">
        <v>201</v>
      </c>
      <c r="D8" s="4">
        <f>ROUND(73838500,2)</f>
        <v>73838500</v>
      </c>
      <c r="E8" s="4">
        <f t="shared" si="0"/>
        <v>0</v>
      </c>
      <c r="F8" s="4">
        <f>ROUND(61323500,2)</f>
        <v>61323500</v>
      </c>
      <c r="G8" s="4">
        <f>ROUND(12515000,2)</f>
        <v>12515000</v>
      </c>
      <c r="H8" s="4">
        <f>ROUND(4339583.97,2)</f>
        <v>4339583.97</v>
      </c>
      <c r="I8" s="4">
        <f t="shared" si="1"/>
        <v>0</v>
      </c>
      <c r="J8" s="4">
        <f>ROUND(3604061.26,2)</f>
        <v>3604061.26</v>
      </c>
      <c r="K8" s="4">
        <f>ROUND(735522.71,2)</f>
        <v>735522.71</v>
      </c>
    </row>
    <row r="9" spans="1:11" ht="81.75">
      <c r="A9" s="2" t="s">
        <v>52</v>
      </c>
      <c r="B9" s="3" t="s">
        <v>144</v>
      </c>
      <c r="C9" s="3" t="s">
        <v>132</v>
      </c>
      <c r="D9" s="4">
        <f>ROUND(73029900,2)</f>
        <v>73029900</v>
      </c>
      <c r="E9" s="4">
        <f t="shared" si="0"/>
        <v>0</v>
      </c>
      <c r="F9" s="4">
        <f>ROUND(60617900,2)</f>
        <v>60617900</v>
      </c>
      <c r="G9" s="4">
        <f>ROUND(12412000,2)</f>
        <v>12412000</v>
      </c>
      <c r="H9" s="4">
        <f>ROUND(4268573.34,2)</f>
        <v>4268573.34</v>
      </c>
      <c r="I9" s="4">
        <f t="shared" si="1"/>
        <v>0</v>
      </c>
      <c r="J9" s="4">
        <f>ROUND(3545086.33,2)</f>
        <v>3545086.33</v>
      </c>
      <c r="K9" s="4">
        <f>ROUND(723487.01,2)</f>
        <v>723487.01</v>
      </c>
    </row>
    <row r="10" spans="1:11" ht="126.75">
      <c r="A10" s="2" t="s">
        <v>212</v>
      </c>
      <c r="B10" s="3" t="s">
        <v>339</v>
      </c>
      <c r="C10" s="3" t="s">
        <v>110</v>
      </c>
      <c r="D10" s="4">
        <f>ROUND(796800,2)</f>
        <v>796800</v>
      </c>
      <c r="E10" s="4">
        <f t="shared" si="0"/>
        <v>0</v>
      </c>
      <c r="F10" s="4">
        <f>ROUND(695800,2)</f>
        <v>695800</v>
      </c>
      <c r="G10" s="4">
        <f>ROUND(101000,2)</f>
        <v>101000</v>
      </c>
      <c r="H10" s="4">
        <f>ROUND(70335.67,2)</f>
        <v>70335.67</v>
      </c>
      <c r="I10" s="4">
        <f t="shared" si="1"/>
        <v>0</v>
      </c>
      <c r="J10" s="4">
        <f>ROUND(58414.37,2)</f>
        <v>58414.37</v>
      </c>
      <c r="K10" s="4">
        <f>ROUND(11921.3,2)</f>
        <v>11921.3</v>
      </c>
    </row>
    <row r="11" spans="1:11" ht="54.75">
      <c r="A11" s="2" t="s">
        <v>45</v>
      </c>
      <c r="B11" s="3" t="s">
        <v>243</v>
      </c>
      <c r="C11" s="3" t="s">
        <v>34</v>
      </c>
      <c r="D11" s="4">
        <f>ROUND(5900,2)</f>
        <v>5900</v>
      </c>
      <c r="E11" s="4">
        <f t="shared" si="0"/>
        <v>0</v>
      </c>
      <c r="F11" s="4">
        <f>ROUND(4900,2)</f>
        <v>4900</v>
      </c>
      <c r="G11" s="4">
        <f>ROUND(1000,2)</f>
        <v>1000</v>
      </c>
      <c r="H11" s="4">
        <f>ROUND(0,2)</f>
        <v>0</v>
      </c>
      <c r="I11" s="4">
        <f t="shared" si="1"/>
        <v>0</v>
      </c>
      <c r="J11" s="4">
        <f>ROUND(0,2)</f>
        <v>0</v>
      </c>
      <c r="K11" s="4">
        <f>ROUND(0,2)</f>
        <v>0</v>
      </c>
    </row>
    <row r="12" spans="1:11" ht="108.75">
      <c r="A12" s="2" t="s">
        <v>181</v>
      </c>
      <c r="B12" s="3" t="s">
        <v>354</v>
      </c>
      <c r="C12" s="3" t="s">
        <v>345</v>
      </c>
      <c r="D12" s="4">
        <f>ROUND(5900,2)</f>
        <v>5900</v>
      </c>
      <c r="E12" s="4">
        <f t="shared" si="0"/>
        <v>0</v>
      </c>
      <c r="F12" s="4">
        <f>ROUND(4900,2)</f>
        <v>4900</v>
      </c>
      <c r="G12" s="4">
        <f>ROUND(1000,2)</f>
        <v>1000</v>
      </c>
      <c r="H12" s="4">
        <f>ROUND(674.96,2)</f>
        <v>674.96</v>
      </c>
      <c r="I12" s="4">
        <f t="shared" si="1"/>
        <v>0</v>
      </c>
      <c r="J12" s="4">
        <f>ROUND(560.56,2)</f>
        <v>560.56</v>
      </c>
      <c r="K12" s="4">
        <f>ROUND(114.4,2)</f>
        <v>114.4</v>
      </c>
    </row>
    <row r="13" spans="1:11" ht="18.75">
      <c r="A13" s="2" t="s">
        <v>352</v>
      </c>
      <c r="B13" s="3" t="s">
        <v>133</v>
      </c>
      <c r="C13" s="3" t="s">
        <v>54</v>
      </c>
      <c r="D13" s="4">
        <f>ROUND(10888030,2)</f>
        <v>10888030</v>
      </c>
      <c r="E13" s="4">
        <f t="shared" si="0"/>
        <v>0</v>
      </c>
      <c r="F13" s="4">
        <f>ROUND(9191430,2)</f>
        <v>9191430</v>
      </c>
      <c r="G13" s="4">
        <f>ROUND(1696600,2)</f>
        <v>1696600</v>
      </c>
      <c r="H13" s="4">
        <f>ROUND(1697315.55,2)</f>
        <v>1697315.55</v>
      </c>
      <c r="I13" s="4">
        <f t="shared" si="1"/>
        <v>0</v>
      </c>
      <c r="J13" s="4">
        <f>ROUND(1518945.68,2)</f>
        <v>1518945.68</v>
      </c>
      <c r="K13" s="4">
        <f>ROUND(178369.87,2)</f>
        <v>178369.87</v>
      </c>
    </row>
    <row r="14" spans="1:11" ht="27.75">
      <c r="A14" s="2" t="s">
        <v>42</v>
      </c>
      <c r="B14" s="3" t="s">
        <v>95</v>
      </c>
      <c r="C14" s="3" t="s">
        <v>139</v>
      </c>
      <c r="D14" s="4">
        <f>ROUND(8456600,2)</f>
        <v>8456600</v>
      </c>
      <c r="E14" s="4">
        <f t="shared" si="0"/>
        <v>0</v>
      </c>
      <c r="F14" s="4">
        <f>ROUND(7611000,2)</f>
        <v>7611000</v>
      </c>
      <c r="G14" s="4">
        <f>ROUND(845600,2)</f>
        <v>845600</v>
      </c>
      <c r="H14" s="4">
        <f>ROUND(1662950.55,2)</f>
        <v>1662950.55</v>
      </c>
      <c r="I14" s="4">
        <f t="shared" si="1"/>
        <v>0</v>
      </c>
      <c r="J14" s="4">
        <f>ROUND(1496608.43,2)</f>
        <v>1496608.43</v>
      </c>
      <c r="K14" s="4">
        <f>ROUND(166342.12,2)</f>
        <v>166342.12</v>
      </c>
    </row>
    <row r="15" spans="1:11" ht="27.75">
      <c r="A15" s="2" t="s">
        <v>200</v>
      </c>
      <c r="B15" s="3" t="s">
        <v>4</v>
      </c>
      <c r="C15" s="3" t="s">
        <v>139</v>
      </c>
      <c r="D15" s="4">
        <f>ROUND(7235600,2)</f>
        <v>7235600</v>
      </c>
      <c r="E15" s="4">
        <f t="shared" si="0"/>
        <v>0</v>
      </c>
      <c r="F15" s="4">
        <f>ROUND(6512100,2)</f>
        <v>6512100</v>
      </c>
      <c r="G15" s="4">
        <f>ROUND(723500,2)</f>
        <v>723500</v>
      </c>
      <c r="H15" s="4">
        <f>ROUND(1658714.33,2)</f>
        <v>1658714.33</v>
      </c>
      <c r="I15" s="4">
        <f t="shared" si="1"/>
        <v>0</v>
      </c>
      <c r="J15" s="4">
        <f>ROUND(1492842.9,2)</f>
        <v>1492842.9</v>
      </c>
      <c r="K15" s="4">
        <f>ROUND(165871.43,2)</f>
        <v>165871.43</v>
      </c>
    </row>
    <row r="16" spans="1:11" ht="45.75">
      <c r="A16" s="2" t="s">
        <v>30</v>
      </c>
      <c r="B16" s="3" t="s">
        <v>195</v>
      </c>
      <c r="C16" s="3" t="s">
        <v>138</v>
      </c>
      <c r="D16" s="4">
        <f>ROUND(1221000,2)</f>
        <v>1221000</v>
      </c>
      <c r="E16" s="4">
        <f t="shared" si="0"/>
        <v>0</v>
      </c>
      <c r="F16" s="4">
        <f>ROUND(1098900,2)</f>
        <v>1098900</v>
      </c>
      <c r="G16" s="4">
        <f>ROUND(122100,2)</f>
        <v>122100</v>
      </c>
      <c r="H16" s="4">
        <f>ROUND(4236.22,2)</f>
        <v>4236.22</v>
      </c>
      <c r="I16" s="4">
        <f t="shared" si="1"/>
        <v>0</v>
      </c>
      <c r="J16" s="4">
        <f>ROUND(3765.53,2)</f>
        <v>3765.53</v>
      </c>
      <c r="K16" s="4">
        <f>ROUND(470.69,2)</f>
        <v>470.69</v>
      </c>
    </row>
    <row r="17" spans="1:11" ht="18.75">
      <c r="A17" s="2" t="s">
        <v>251</v>
      </c>
      <c r="B17" s="3" t="s">
        <v>346</v>
      </c>
      <c r="C17" s="3" t="s">
        <v>9</v>
      </c>
      <c r="D17" s="4">
        <f>ROUND(2431430,2)</f>
        <v>2431430</v>
      </c>
      <c r="E17" s="4">
        <f t="shared" si="0"/>
        <v>0</v>
      </c>
      <c r="F17" s="4">
        <f>ROUND(1580430,2)</f>
        <v>1580430</v>
      </c>
      <c r="G17" s="4">
        <f>ROUND(851000,2)</f>
        <v>851000</v>
      </c>
      <c r="H17" s="4">
        <f>ROUND(34365,2)</f>
        <v>34365</v>
      </c>
      <c r="I17" s="4">
        <f t="shared" si="1"/>
        <v>0</v>
      </c>
      <c r="J17" s="4">
        <f>ROUND(22337.25,2)</f>
        <v>22337.25</v>
      </c>
      <c r="K17" s="4">
        <f>ROUND(12027.75,2)</f>
        <v>12027.75</v>
      </c>
    </row>
    <row r="18" spans="1:11" ht="18.75">
      <c r="A18" s="2" t="s">
        <v>85</v>
      </c>
      <c r="B18" s="3" t="s">
        <v>247</v>
      </c>
      <c r="C18" s="3" t="s">
        <v>9</v>
      </c>
      <c r="D18" s="4">
        <f>ROUND(2342860,2)</f>
        <v>2342860</v>
      </c>
      <c r="E18" s="4">
        <f t="shared" si="0"/>
        <v>0</v>
      </c>
      <c r="F18" s="4">
        <f>ROUND(1522860,2)</f>
        <v>1522860</v>
      </c>
      <c r="G18" s="4">
        <f>ROUND(820000,2)</f>
        <v>820000</v>
      </c>
      <c r="H18" s="4">
        <f>ROUND(34365,2)</f>
        <v>34365</v>
      </c>
      <c r="I18" s="4">
        <f t="shared" si="1"/>
        <v>0</v>
      </c>
      <c r="J18" s="4">
        <f>ROUND(22337.25,2)</f>
        <v>22337.25</v>
      </c>
      <c r="K18" s="4">
        <f>ROUND(12027.75,2)</f>
        <v>12027.75</v>
      </c>
    </row>
    <row r="19" spans="1:11" ht="27.75">
      <c r="A19" s="2" t="s">
        <v>197</v>
      </c>
      <c r="B19" s="3" t="s">
        <v>62</v>
      </c>
      <c r="C19" s="3" t="s">
        <v>299</v>
      </c>
      <c r="D19" s="4">
        <f>ROUND(88570,2)</f>
        <v>88570</v>
      </c>
      <c r="E19" s="4">
        <f t="shared" si="0"/>
        <v>0</v>
      </c>
      <c r="F19" s="4">
        <f>ROUND(57570,2)</f>
        <v>57570</v>
      </c>
      <c r="G19" s="4">
        <f>ROUND(31000,2)</f>
        <v>31000</v>
      </c>
      <c r="H19" s="4">
        <f>ROUND(0,2)</f>
        <v>0</v>
      </c>
      <c r="I19" s="4">
        <f t="shared" si="1"/>
        <v>0</v>
      </c>
      <c r="J19" s="4">
        <f>ROUND(0,2)</f>
        <v>0</v>
      </c>
      <c r="K19" s="4">
        <f>ROUND(0,2)</f>
        <v>0</v>
      </c>
    </row>
    <row r="20" spans="1:11" ht="12.75">
      <c r="A20" s="2" t="s">
        <v>27</v>
      </c>
      <c r="B20" s="3" t="s">
        <v>158</v>
      </c>
      <c r="C20" s="3" t="s">
        <v>316</v>
      </c>
      <c r="D20" s="4">
        <f>ROUND(45818500,2)</f>
        <v>45818500</v>
      </c>
      <c r="E20" s="4">
        <f t="shared" si="0"/>
        <v>0</v>
      </c>
      <c r="F20" s="4">
        <f aca="true" t="shared" si="2" ref="F20:F27">ROUND(0,2)</f>
        <v>0</v>
      </c>
      <c r="G20" s="4">
        <f>ROUND(45818500,2)</f>
        <v>45818500</v>
      </c>
      <c r="H20" s="4">
        <f>ROUND(3891651.56,2)</f>
        <v>3891651.56</v>
      </c>
      <c r="I20" s="4">
        <f t="shared" si="1"/>
        <v>0</v>
      </c>
      <c r="J20" s="4">
        <f aca="true" t="shared" si="3" ref="J20:J27">ROUND(0,2)</f>
        <v>0</v>
      </c>
      <c r="K20" s="4">
        <f>ROUND(3891651.56,2)</f>
        <v>3891651.56</v>
      </c>
    </row>
    <row r="21" spans="1:11" ht="18.75">
      <c r="A21" s="2" t="s">
        <v>268</v>
      </c>
      <c r="B21" s="3" t="s">
        <v>104</v>
      </c>
      <c r="C21" s="3" t="s">
        <v>82</v>
      </c>
      <c r="D21" s="4">
        <f>ROUND(1673500,2)</f>
        <v>1673500</v>
      </c>
      <c r="E21" s="4">
        <f t="shared" si="0"/>
        <v>0</v>
      </c>
      <c r="F21" s="4">
        <f t="shared" si="2"/>
        <v>0</v>
      </c>
      <c r="G21" s="4">
        <f>ROUND(1673500,2)</f>
        <v>1673500</v>
      </c>
      <c r="H21" s="4">
        <f>ROUND(55402,2)</f>
        <v>55402</v>
      </c>
      <c r="I21" s="4">
        <f t="shared" si="1"/>
        <v>0</v>
      </c>
      <c r="J21" s="4">
        <f t="shared" si="3"/>
        <v>0</v>
      </c>
      <c r="K21" s="4">
        <f>ROUND(55402,2)</f>
        <v>55402</v>
      </c>
    </row>
    <row r="22" spans="1:11" ht="54.75">
      <c r="A22" s="2" t="s">
        <v>222</v>
      </c>
      <c r="B22" s="3" t="s">
        <v>101</v>
      </c>
      <c r="C22" s="3" t="s">
        <v>189</v>
      </c>
      <c r="D22" s="4">
        <f>ROUND(1673500,2)</f>
        <v>1673500</v>
      </c>
      <c r="E22" s="4">
        <f t="shared" si="0"/>
        <v>0</v>
      </c>
      <c r="F22" s="4">
        <f t="shared" si="2"/>
        <v>0</v>
      </c>
      <c r="G22" s="4">
        <f>ROUND(1673500,2)</f>
        <v>1673500</v>
      </c>
      <c r="H22" s="4">
        <f>ROUND(55402,2)</f>
        <v>55402</v>
      </c>
      <c r="I22" s="4">
        <f t="shared" si="1"/>
        <v>0</v>
      </c>
      <c r="J22" s="4">
        <f t="shared" si="3"/>
        <v>0</v>
      </c>
      <c r="K22" s="4">
        <f>ROUND(55402,2)</f>
        <v>55402</v>
      </c>
    </row>
    <row r="23" spans="1:11" ht="12.75">
      <c r="A23" s="2" t="s">
        <v>322</v>
      </c>
      <c r="B23" s="3" t="s">
        <v>7</v>
      </c>
      <c r="C23" s="3" t="s">
        <v>367</v>
      </c>
      <c r="D23" s="4">
        <f>ROUND(44145000,2)</f>
        <v>44145000</v>
      </c>
      <c r="E23" s="4">
        <f t="shared" si="0"/>
        <v>0</v>
      </c>
      <c r="F23" s="4">
        <f t="shared" si="2"/>
        <v>0</v>
      </c>
      <c r="G23" s="4">
        <f>ROUND(44145000,2)</f>
        <v>44145000</v>
      </c>
      <c r="H23" s="4">
        <f>ROUND(3836249.56,2)</f>
        <v>3836249.56</v>
      </c>
      <c r="I23" s="4">
        <f t="shared" si="1"/>
        <v>0</v>
      </c>
      <c r="J23" s="4">
        <f t="shared" si="3"/>
        <v>0</v>
      </c>
      <c r="K23" s="4">
        <f>ROUND(3836249.56,2)</f>
        <v>3836249.56</v>
      </c>
    </row>
    <row r="24" spans="1:11" ht="45.75">
      <c r="A24" s="2" t="s">
        <v>102</v>
      </c>
      <c r="B24" s="3" t="s">
        <v>93</v>
      </c>
      <c r="C24" s="3" t="s">
        <v>237</v>
      </c>
      <c r="D24" s="4">
        <f>ROUND(13890000,2)</f>
        <v>13890000</v>
      </c>
      <c r="E24" s="4">
        <f t="shared" si="0"/>
        <v>0</v>
      </c>
      <c r="F24" s="4">
        <f t="shared" si="2"/>
        <v>0</v>
      </c>
      <c r="G24" s="4">
        <f>ROUND(13890000,2)</f>
        <v>13890000</v>
      </c>
      <c r="H24" s="4">
        <f>ROUND(1543954.32,2)</f>
        <v>1543954.32</v>
      </c>
      <c r="I24" s="4">
        <f t="shared" si="1"/>
        <v>0</v>
      </c>
      <c r="J24" s="4">
        <f t="shared" si="3"/>
        <v>0</v>
      </c>
      <c r="K24" s="4">
        <f>ROUND(1543954.32,2)</f>
        <v>1543954.32</v>
      </c>
    </row>
    <row r="25" spans="1:11" ht="81.75">
      <c r="A25" s="2" t="s">
        <v>279</v>
      </c>
      <c r="B25" s="3" t="s">
        <v>75</v>
      </c>
      <c r="C25" s="3" t="s">
        <v>365</v>
      </c>
      <c r="D25" s="4">
        <f>ROUND(13890000,2)</f>
        <v>13890000</v>
      </c>
      <c r="E25" s="4">
        <f t="shared" si="0"/>
        <v>0</v>
      </c>
      <c r="F25" s="4">
        <f t="shared" si="2"/>
        <v>0</v>
      </c>
      <c r="G25" s="4">
        <f>ROUND(13890000,2)</f>
        <v>13890000</v>
      </c>
      <c r="H25" s="4">
        <f>ROUND(1543954.32,2)</f>
        <v>1543954.32</v>
      </c>
      <c r="I25" s="4">
        <f t="shared" si="1"/>
        <v>0</v>
      </c>
      <c r="J25" s="4">
        <f t="shared" si="3"/>
        <v>0</v>
      </c>
      <c r="K25" s="4">
        <f>ROUND(1543954.32,2)</f>
        <v>1543954.32</v>
      </c>
    </row>
    <row r="26" spans="1:11" ht="45.75">
      <c r="A26" s="2" t="s">
        <v>11</v>
      </c>
      <c r="B26" s="3" t="s">
        <v>284</v>
      </c>
      <c r="C26" s="3" t="s">
        <v>142</v>
      </c>
      <c r="D26" s="4">
        <f>ROUND(30255000,2)</f>
        <v>30255000</v>
      </c>
      <c r="E26" s="4">
        <f t="shared" si="0"/>
        <v>0</v>
      </c>
      <c r="F26" s="4">
        <f t="shared" si="2"/>
        <v>0</v>
      </c>
      <c r="G26" s="4">
        <f>ROUND(30255000,2)</f>
        <v>30255000</v>
      </c>
      <c r="H26" s="4">
        <f>ROUND(2292295.24,2)</f>
        <v>2292295.24</v>
      </c>
      <c r="I26" s="4">
        <f t="shared" si="1"/>
        <v>0</v>
      </c>
      <c r="J26" s="4">
        <f t="shared" si="3"/>
        <v>0</v>
      </c>
      <c r="K26" s="4">
        <f>ROUND(2292295.24,2)</f>
        <v>2292295.24</v>
      </c>
    </row>
    <row r="27" spans="1:11" ht="81.75">
      <c r="A27" s="2" t="s">
        <v>50</v>
      </c>
      <c r="B27" s="3" t="s">
        <v>267</v>
      </c>
      <c r="C27" s="3" t="s">
        <v>187</v>
      </c>
      <c r="D27" s="4">
        <f>ROUND(30255000,2)</f>
        <v>30255000</v>
      </c>
      <c r="E27" s="4">
        <f t="shared" si="0"/>
        <v>0</v>
      </c>
      <c r="F27" s="4">
        <f t="shared" si="2"/>
        <v>0</v>
      </c>
      <c r="G27" s="4">
        <f>ROUND(30255000,2)</f>
        <v>30255000</v>
      </c>
      <c r="H27" s="4">
        <f>ROUND(2292295.24,2)</f>
        <v>2292295.24</v>
      </c>
      <c r="I27" s="4">
        <f t="shared" si="1"/>
        <v>0</v>
      </c>
      <c r="J27" s="4">
        <f t="shared" si="3"/>
        <v>0</v>
      </c>
      <c r="K27" s="4">
        <f>ROUND(2292295.24,2)</f>
        <v>2292295.24</v>
      </c>
    </row>
    <row r="28" spans="1:11" ht="12.75">
      <c r="A28" s="2" t="s">
        <v>231</v>
      </c>
      <c r="B28" s="3" t="s">
        <v>83</v>
      </c>
      <c r="C28" s="3" t="s">
        <v>39</v>
      </c>
      <c r="D28" s="4">
        <f>ROUND(1395000,2)</f>
        <v>1395000</v>
      </c>
      <c r="E28" s="4">
        <f t="shared" si="0"/>
        <v>0</v>
      </c>
      <c r="F28" s="4">
        <f>ROUND(650000,2)</f>
        <v>650000</v>
      </c>
      <c r="G28" s="4">
        <f>ROUND(745000,2)</f>
        <v>745000</v>
      </c>
      <c r="H28" s="4">
        <f>ROUND(66554,2)</f>
        <v>66554</v>
      </c>
      <c r="I28" s="4">
        <f t="shared" si="1"/>
        <v>0</v>
      </c>
      <c r="J28" s="4">
        <f>ROUND(39669,2)</f>
        <v>39669</v>
      </c>
      <c r="K28" s="4">
        <f>ROUND(26885,2)</f>
        <v>26885</v>
      </c>
    </row>
    <row r="29" spans="1:11" ht="36.75">
      <c r="A29" s="2" t="s">
        <v>125</v>
      </c>
      <c r="B29" s="3" t="s">
        <v>205</v>
      </c>
      <c r="C29" s="3" t="s">
        <v>89</v>
      </c>
      <c r="D29" s="4">
        <f>ROUND(650000,2)</f>
        <v>650000</v>
      </c>
      <c r="E29" s="4">
        <f t="shared" si="0"/>
        <v>0</v>
      </c>
      <c r="F29" s="4">
        <f>ROUND(650000,2)</f>
        <v>650000</v>
      </c>
      <c r="G29" s="4">
        <f>ROUND(0,2)</f>
        <v>0</v>
      </c>
      <c r="H29" s="4">
        <f>ROUND(39669,2)</f>
        <v>39669</v>
      </c>
      <c r="I29" s="4">
        <f t="shared" si="1"/>
        <v>0</v>
      </c>
      <c r="J29" s="4">
        <f>ROUND(39669,2)</f>
        <v>39669</v>
      </c>
      <c r="K29" s="4">
        <f>ROUND(0,2)</f>
        <v>0</v>
      </c>
    </row>
    <row r="30" spans="1:11" ht="54.75">
      <c r="A30" s="2" t="s">
        <v>371</v>
      </c>
      <c r="B30" s="3" t="s">
        <v>288</v>
      </c>
      <c r="C30" s="3" t="s">
        <v>3</v>
      </c>
      <c r="D30" s="4">
        <f>ROUND(650000,2)</f>
        <v>650000</v>
      </c>
      <c r="E30" s="4">
        <f t="shared" si="0"/>
        <v>0</v>
      </c>
      <c r="F30" s="4">
        <f>ROUND(650000,2)</f>
        <v>650000</v>
      </c>
      <c r="G30" s="4">
        <f>ROUND(0,2)</f>
        <v>0</v>
      </c>
      <c r="H30" s="4">
        <f>ROUND(39669,2)</f>
        <v>39669</v>
      </c>
      <c r="I30" s="4">
        <f t="shared" si="1"/>
        <v>0</v>
      </c>
      <c r="J30" s="4">
        <f>ROUND(39669,2)</f>
        <v>39669</v>
      </c>
      <c r="K30" s="4">
        <f>ROUND(0,2)</f>
        <v>0</v>
      </c>
    </row>
    <row r="31" spans="1:11" ht="54.75">
      <c r="A31" s="2" t="s">
        <v>313</v>
      </c>
      <c r="B31" s="3" t="s">
        <v>280</v>
      </c>
      <c r="C31" s="3" t="s">
        <v>286</v>
      </c>
      <c r="D31" s="4">
        <f>ROUND(745000,2)</f>
        <v>745000</v>
      </c>
      <c r="E31" s="4">
        <f t="shared" si="0"/>
        <v>0</v>
      </c>
      <c r="F31" s="4">
        <f>ROUND(0,2)</f>
        <v>0</v>
      </c>
      <c r="G31" s="4">
        <f>ROUND(745000,2)</f>
        <v>745000</v>
      </c>
      <c r="H31" s="4">
        <f>ROUND(26885,2)</f>
        <v>26885</v>
      </c>
      <c r="I31" s="4">
        <f t="shared" si="1"/>
        <v>0</v>
      </c>
      <c r="J31" s="4">
        <f>ROUND(0,2)</f>
        <v>0</v>
      </c>
      <c r="K31" s="4">
        <f>ROUND(26885,2)</f>
        <v>26885</v>
      </c>
    </row>
    <row r="32" spans="1:11" ht="90.75">
      <c r="A32" s="2" t="s">
        <v>318</v>
      </c>
      <c r="B32" s="3" t="s">
        <v>15</v>
      </c>
      <c r="C32" s="3" t="s">
        <v>47</v>
      </c>
      <c r="D32" s="4">
        <f>ROUND(745000,2)</f>
        <v>745000</v>
      </c>
      <c r="E32" s="4">
        <f t="shared" si="0"/>
        <v>0</v>
      </c>
      <c r="F32" s="4">
        <f>ROUND(0,2)</f>
        <v>0</v>
      </c>
      <c r="G32" s="4">
        <f>ROUND(745000,2)</f>
        <v>745000</v>
      </c>
      <c r="H32" s="4">
        <f>ROUND(26885,2)</f>
        <v>26885</v>
      </c>
      <c r="I32" s="4">
        <f t="shared" si="1"/>
        <v>0</v>
      </c>
      <c r="J32" s="4">
        <f>ROUND(0,2)</f>
        <v>0</v>
      </c>
      <c r="K32" s="4">
        <f>ROUND(26885,2)</f>
        <v>26885</v>
      </c>
    </row>
    <row r="33" spans="1:11" ht="45.75">
      <c r="A33" s="2" t="s">
        <v>256</v>
      </c>
      <c r="B33" s="3" t="s">
        <v>355</v>
      </c>
      <c r="C33" s="3" t="s">
        <v>109</v>
      </c>
      <c r="D33" s="4">
        <f>ROUND(0,2)</f>
        <v>0</v>
      </c>
      <c r="E33" s="4">
        <f t="shared" si="0"/>
        <v>0</v>
      </c>
      <c r="F33" s="4">
        <f>ROUND(0,2)</f>
        <v>0</v>
      </c>
      <c r="G33" s="4">
        <f>ROUND(0,2)</f>
        <v>0</v>
      </c>
      <c r="H33" s="4">
        <f>ROUND(-5863.66,2)</f>
        <v>-5863.66</v>
      </c>
      <c r="I33" s="4">
        <f t="shared" si="1"/>
        <v>0</v>
      </c>
      <c r="J33" s="4">
        <f>ROUND(-5863.66,2)</f>
        <v>-5863.66</v>
      </c>
      <c r="K33" s="4">
        <f>ROUND(0,2)</f>
        <v>0</v>
      </c>
    </row>
    <row r="34" spans="1:11" ht="27.75">
      <c r="A34" s="2" t="s">
        <v>87</v>
      </c>
      <c r="B34" s="3" t="s">
        <v>281</v>
      </c>
      <c r="C34" s="3" t="s">
        <v>290</v>
      </c>
      <c r="D34" s="4">
        <f>ROUND(0,2)</f>
        <v>0</v>
      </c>
      <c r="E34" s="4">
        <f t="shared" si="0"/>
        <v>0</v>
      </c>
      <c r="F34" s="4">
        <f>ROUND(0,2)</f>
        <v>0</v>
      </c>
      <c r="G34" s="4">
        <f>ROUND(0,2)</f>
        <v>0</v>
      </c>
      <c r="H34" s="4">
        <f>ROUND(-5863.66,2)</f>
        <v>-5863.66</v>
      </c>
      <c r="I34" s="4">
        <f t="shared" si="1"/>
        <v>0</v>
      </c>
      <c r="J34" s="4">
        <f>ROUND(-5863.66,2)</f>
        <v>-5863.66</v>
      </c>
      <c r="K34" s="4">
        <f>ROUND(0,2)</f>
        <v>0</v>
      </c>
    </row>
    <row r="35" spans="1:11" ht="45.75">
      <c r="A35" s="2" t="s">
        <v>185</v>
      </c>
      <c r="B35" s="3" t="s">
        <v>124</v>
      </c>
      <c r="C35" s="3" t="s">
        <v>223</v>
      </c>
      <c r="D35" s="4">
        <f>ROUND(0,2)</f>
        <v>0</v>
      </c>
      <c r="E35" s="4">
        <f t="shared" si="0"/>
        <v>0</v>
      </c>
      <c r="F35" s="4">
        <f>ROUND(0,2)</f>
        <v>0</v>
      </c>
      <c r="G35" s="4">
        <f>ROUND(0,2)</f>
        <v>0</v>
      </c>
      <c r="H35" s="4">
        <f>ROUND(-5863.66,2)</f>
        <v>-5863.66</v>
      </c>
      <c r="I35" s="4">
        <f t="shared" si="1"/>
        <v>0</v>
      </c>
      <c r="J35" s="4">
        <f>ROUND(-5863.66,2)</f>
        <v>-5863.66</v>
      </c>
      <c r="K35" s="4">
        <f>ROUND(0,2)</f>
        <v>0</v>
      </c>
    </row>
    <row r="36" spans="1:11" ht="45.75">
      <c r="A36" s="2" t="s">
        <v>262</v>
      </c>
      <c r="B36" s="3" t="s">
        <v>353</v>
      </c>
      <c r="C36" s="3" t="s">
        <v>307</v>
      </c>
      <c r="D36" s="4">
        <f>ROUND(25513500,2)</f>
        <v>25513500</v>
      </c>
      <c r="E36" s="4">
        <f t="shared" si="0"/>
        <v>0</v>
      </c>
      <c r="F36" s="4">
        <f>ROUND(12680000,2)</f>
        <v>12680000</v>
      </c>
      <c r="G36" s="4">
        <f>ROUND(12833500,2)</f>
        <v>12833500</v>
      </c>
      <c r="H36" s="4">
        <f>ROUND(546200.23,2)</f>
        <v>546200.23</v>
      </c>
      <c r="I36" s="4">
        <f t="shared" si="1"/>
        <v>0</v>
      </c>
      <c r="J36" s="4">
        <f>ROUND(264162.5,2)</f>
        <v>264162.5</v>
      </c>
      <c r="K36" s="4">
        <f>ROUND(282037.73,2)</f>
        <v>282037.73</v>
      </c>
    </row>
    <row r="37" spans="1:11" ht="108.75">
      <c r="A37" s="2" t="s">
        <v>128</v>
      </c>
      <c r="B37" s="3" t="s">
        <v>331</v>
      </c>
      <c r="C37" s="3" t="s">
        <v>215</v>
      </c>
      <c r="D37" s="4">
        <f>ROUND(25513500,2)</f>
        <v>25513500</v>
      </c>
      <c r="E37" s="4">
        <f t="shared" si="0"/>
        <v>0</v>
      </c>
      <c r="F37" s="4">
        <f>ROUND(12680000,2)</f>
        <v>12680000</v>
      </c>
      <c r="G37" s="4">
        <f>ROUND(12833500,2)</f>
        <v>12833500</v>
      </c>
      <c r="H37" s="4">
        <f>ROUND(546200.23,2)</f>
        <v>546200.23</v>
      </c>
      <c r="I37" s="4">
        <f t="shared" si="1"/>
        <v>0</v>
      </c>
      <c r="J37" s="4">
        <f>ROUND(264162.5,2)</f>
        <v>264162.5</v>
      </c>
      <c r="K37" s="4">
        <f>ROUND(282037.73,2)</f>
        <v>282037.73</v>
      </c>
    </row>
    <row r="38" spans="1:11" ht="72.75">
      <c r="A38" s="2" t="s">
        <v>297</v>
      </c>
      <c r="B38" s="3" t="s">
        <v>238</v>
      </c>
      <c r="C38" s="3" t="s">
        <v>23</v>
      </c>
      <c r="D38" s="4">
        <f>ROUND(24840000,2)</f>
        <v>24840000</v>
      </c>
      <c r="E38" s="4">
        <f aca="true" t="shared" si="4" ref="E38:E69">ROUND(0,2)</f>
        <v>0</v>
      </c>
      <c r="F38" s="4">
        <f>ROUND(12420000,2)</f>
        <v>12420000</v>
      </c>
      <c r="G38" s="4">
        <f>ROUND(12420000,2)</f>
        <v>12420000</v>
      </c>
      <c r="H38" s="4">
        <f>ROUND(516225.08,2)</f>
        <v>516225.08</v>
      </c>
      <c r="I38" s="4">
        <f aca="true" t="shared" si="5" ref="I38:I69">ROUND(0,2)</f>
        <v>0</v>
      </c>
      <c r="J38" s="4">
        <f>ROUND(258112.5,2)</f>
        <v>258112.5</v>
      </c>
      <c r="K38" s="4">
        <f>ROUND(258112.58,2)</f>
        <v>258112.58</v>
      </c>
    </row>
    <row r="39" spans="1:11" ht="90.75">
      <c r="A39" s="2" t="s">
        <v>337</v>
      </c>
      <c r="B39" s="3" t="s">
        <v>309</v>
      </c>
      <c r="C39" s="3" t="s">
        <v>372</v>
      </c>
      <c r="D39" s="4">
        <f>ROUND(24840000,2)</f>
        <v>24840000</v>
      </c>
      <c r="E39" s="4">
        <f t="shared" si="4"/>
        <v>0</v>
      </c>
      <c r="F39" s="4">
        <f>ROUND(12420000,2)</f>
        <v>12420000</v>
      </c>
      <c r="G39" s="4">
        <f>ROUND(12420000,2)</f>
        <v>12420000</v>
      </c>
      <c r="H39" s="4">
        <f>ROUND(516225.08,2)</f>
        <v>516225.08</v>
      </c>
      <c r="I39" s="4">
        <f t="shared" si="5"/>
        <v>0</v>
      </c>
      <c r="J39" s="4">
        <f>ROUND(258112.5,2)</f>
        <v>258112.5</v>
      </c>
      <c r="K39" s="4">
        <f>ROUND(258112.58,2)</f>
        <v>258112.58</v>
      </c>
    </row>
    <row r="40" spans="1:11" ht="90.75">
      <c r="A40" s="2" t="s">
        <v>360</v>
      </c>
      <c r="B40" s="3" t="s">
        <v>151</v>
      </c>
      <c r="C40" s="3" t="s">
        <v>71</v>
      </c>
      <c r="D40" s="4">
        <f>ROUND(673500,2)</f>
        <v>673500</v>
      </c>
      <c r="E40" s="4">
        <f t="shared" si="4"/>
        <v>0</v>
      </c>
      <c r="F40" s="4">
        <f>ROUND(260000,2)</f>
        <v>260000</v>
      </c>
      <c r="G40" s="4">
        <f>ROUND(413500,2)</f>
        <v>413500</v>
      </c>
      <c r="H40" s="4">
        <f>ROUND(29975.15,2)</f>
        <v>29975.15</v>
      </c>
      <c r="I40" s="4">
        <f t="shared" si="5"/>
        <v>0</v>
      </c>
      <c r="J40" s="4">
        <f>ROUND(6050,2)</f>
        <v>6050</v>
      </c>
      <c r="K40" s="4">
        <f>ROUND(23925.15,2)</f>
        <v>23925.15</v>
      </c>
    </row>
    <row r="41" spans="1:11" ht="81.75">
      <c r="A41" s="2" t="s">
        <v>77</v>
      </c>
      <c r="B41" s="3" t="s">
        <v>146</v>
      </c>
      <c r="C41" s="3" t="s">
        <v>356</v>
      </c>
      <c r="D41" s="4">
        <f>ROUND(260000,2)</f>
        <v>260000</v>
      </c>
      <c r="E41" s="4">
        <f t="shared" si="4"/>
        <v>0</v>
      </c>
      <c r="F41" s="4">
        <f>ROUND(260000,2)</f>
        <v>260000</v>
      </c>
      <c r="G41" s="4">
        <f>ROUND(0,2)</f>
        <v>0</v>
      </c>
      <c r="H41" s="4">
        <f>ROUND(6050,2)</f>
        <v>6050</v>
      </c>
      <c r="I41" s="4">
        <f t="shared" si="5"/>
        <v>0</v>
      </c>
      <c r="J41" s="4">
        <f>ROUND(6050,2)</f>
        <v>6050</v>
      </c>
      <c r="K41" s="4">
        <f>ROUND(0,2)</f>
        <v>0</v>
      </c>
    </row>
    <row r="42" spans="1:11" ht="72.75">
      <c r="A42" s="2" t="s">
        <v>229</v>
      </c>
      <c r="B42" s="3" t="s">
        <v>369</v>
      </c>
      <c r="C42" s="3" t="s">
        <v>174</v>
      </c>
      <c r="D42" s="4">
        <f>ROUND(413500,2)</f>
        <v>413500</v>
      </c>
      <c r="E42" s="4">
        <f t="shared" si="4"/>
        <v>0</v>
      </c>
      <c r="F42" s="4">
        <f>ROUND(0,2)</f>
        <v>0</v>
      </c>
      <c r="G42" s="4">
        <f>ROUND(413500,2)</f>
        <v>413500</v>
      </c>
      <c r="H42" s="4">
        <f>ROUND(23925.15,2)</f>
        <v>23925.15</v>
      </c>
      <c r="I42" s="4">
        <f t="shared" si="5"/>
        <v>0</v>
      </c>
      <c r="J42" s="4">
        <f>ROUND(0,2)</f>
        <v>0</v>
      </c>
      <c r="K42" s="4">
        <f>ROUND(23925.15,2)</f>
        <v>23925.15</v>
      </c>
    </row>
    <row r="43" spans="1:11" ht="18.75">
      <c r="A43" s="2" t="s">
        <v>255</v>
      </c>
      <c r="B43" s="3" t="s">
        <v>305</v>
      </c>
      <c r="C43" s="3" t="s">
        <v>213</v>
      </c>
      <c r="D43" s="4">
        <f>ROUND(1100000,2)</f>
        <v>1100000</v>
      </c>
      <c r="E43" s="4">
        <f t="shared" si="4"/>
        <v>0</v>
      </c>
      <c r="F43" s="4">
        <f>ROUND(1100000,2)</f>
        <v>1100000</v>
      </c>
      <c r="G43" s="4">
        <f aca="true" t="shared" si="6" ref="G43:G49">ROUND(0,2)</f>
        <v>0</v>
      </c>
      <c r="H43" s="4">
        <f>ROUND(1863.68,2)</f>
        <v>1863.68</v>
      </c>
      <c r="I43" s="4">
        <f t="shared" si="5"/>
        <v>0</v>
      </c>
      <c r="J43" s="4">
        <f>ROUND(1863.68,2)</f>
        <v>1863.68</v>
      </c>
      <c r="K43" s="4">
        <f aca="true" t="shared" si="7" ref="K43:K49">ROUND(0,2)</f>
        <v>0</v>
      </c>
    </row>
    <row r="44" spans="1:11" ht="18.75">
      <c r="A44" s="2" t="s">
        <v>81</v>
      </c>
      <c r="B44" s="3" t="s">
        <v>120</v>
      </c>
      <c r="C44" s="3" t="s">
        <v>269</v>
      </c>
      <c r="D44" s="4">
        <f>ROUND(1100000,2)</f>
        <v>1100000</v>
      </c>
      <c r="E44" s="4">
        <f t="shared" si="4"/>
        <v>0</v>
      </c>
      <c r="F44" s="4">
        <f>ROUND(1100000,2)</f>
        <v>1100000</v>
      </c>
      <c r="G44" s="4">
        <f t="shared" si="6"/>
        <v>0</v>
      </c>
      <c r="H44" s="4">
        <f>ROUND(1863.68,2)</f>
        <v>1863.68</v>
      </c>
      <c r="I44" s="4">
        <f t="shared" si="5"/>
        <v>0</v>
      </c>
      <c r="J44" s="4">
        <f>ROUND(1863.68,2)</f>
        <v>1863.68</v>
      </c>
      <c r="K44" s="4">
        <f t="shared" si="7"/>
        <v>0</v>
      </c>
    </row>
    <row r="45" spans="1:11" ht="27.75">
      <c r="A45" s="2" t="s">
        <v>259</v>
      </c>
      <c r="B45" s="3" t="s">
        <v>31</v>
      </c>
      <c r="C45" s="3" t="s">
        <v>273</v>
      </c>
      <c r="D45" s="4">
        <f>ROUND(100000,2)</f>
        <v>100000</v>
      </c>
      <c r="E45" s="4">
        <f t="shared" si="4"/>
        <v>0</v>
      </c>
      <c r="F45" s="4">
        <f>ROUND(100000,2)</f>
        <v>100000</v>
      </c>
      <c r="G45" s="4">
        <f t="shared" si="6"/>
        <v>0</v>
      </c>
      <c r="H45" s="4">
        <f>ROUND(74.48,2)</f>
        <v>74.48</v>
      </c>
      <c r="I45" s="4">
        <f t="shared" si="5"/>
        <v>0</v>
      </c>
      <c r="J45" s="4">
        <f>ROUND(74.48,2)</f>
        <v>74.48</v>
      </c>
      <c r="K45" s="4">
        <f t="shared" si="7"/>
        <v>0</v>
      </c>
    </row>
    <row r="46" spans="1:11" ht="27.75">
      <c r="A46" s="2" t="s">
        <v>173</v>
      </c>
      <c r="B46" s="3" t="s">
        <v>219</v>
      </c>
      <c r="C46" s="3" t="s">
        <v>67</v>
      </c>
      <c r="D46" s="4">
        <f>ROUND(330000,2)</f>
        <v>330000</v>
      </c>
      <c r="E46" s="4">
        <f t="shared" si="4"/>
        <v>0</v>
      </c>
      <c r="F46" s="4">
        <f>ROUND(330000,2)</f>
        <v>330000</v>
      </c>
      <c r="G46" s="4">
        <f t="shared" si="6"/>
        <v>0</v>
      </c>
      <c r="H46" s="4">
        <f>ROUND(520.51,2)</f>
        <v>520.51</v>
      </c>
      <c r="I46" s="4">
        <f t="shared" si="5"/>
        <v>0</v>
      </c>
      <c r="J46" s="4">
        <f>ROUND(520.51,2)</f>
        <v>520.51</v>
      </c>
      <c r="K46" s="4">
        <f t="shared" si="7"/>
        <v>0</v>
      </c>
    </row>
    <row r="47" spans="1:11" ht="18.75">
      <c r="A47" s="2" t="s">
        <v>329</v>
      </c>
      <c r="B47" s="3" t="s">
        <v>308</v>
      </c>
      <c r="C47" s="3" t="s">
        <v>78</v>
      </c>
      <c r="D47" s="4">
        <f>ROUND(280000,2)</f>
        <v>280000</v>
      </c>
      <c r="E47" s="4">
        <f t="shared" si="4"/>
        <v>0</v>
      </c>
      <c r="F47" s="4">
        <f>ROUND(280000,2)</f>
        <v>280000</v>
      </c>
      <c r="G47" s="4">
        <f t="shared" si="6"/>
        <v>0</v>
      </c>
      <c r="H47" s="4">
        <f>ROUND(526.39,2)</f>
        <v>526.39</v>
      </c>
      <c r="I47" s="4">
        <f t="shared" si="5"/>
        <v>0</v>
      </c>
      <c r="J47" s="4">
        <f>ROUND(526.39,2)</f>
        <v>526.39</v>
      </c>
      <c r="K47" s="4">
        <f t="shared" si="7"/>
        <v>0</v>
      </c>
    </row>
    <row r="48" spans="1:11" ht="18.75">
      <c r="A48" s="2" t="s">
        <v>134</v>
      </c>
      <c r="B48" s="3" t="s">
        <v>234</v>
      </c>
      <c r="C48" s="3" t="s">
        <v>94</v>
      </c>
      <c r="D48" s="4">
        <f>ROUND(330000,2)</f>
        <v>330000</v>
      </c>
      <c r="E48" s="4">
        <f t="shared" si="4"/>
        <v>0</v>
      </c>
      <c r="F48" s="4">
        <f>ROUND(330000,2)</f>
        <v>330000</v>
      </c>
      <c r="G48" s="4">
        <f t="shared" si="6"/>
        <v>0</v>
      </c>
      <c r="H48" s="4">
        <f>ROUND(742.3,2)</f>
        <v>742.3</v>
      </c>
      <c r="I48" s="4">
        <f t="shared" si="5"/>
        <v>0</v>
      </c>
      <c r="J48" s="4">
        <f>ROUND(742.3,2)</f>
        <v>742.3</v>
      </c>
      <c r="K48" s="4">
        <f t="shared" si="7"/>
        <v>0</v>
      </c>
    </row>
    <row r="49" spans="1:11" ht="27.75">
      <c r="A49" s="2" t="s">
        <v>295</v>
      </c>
      <c r="B49" s="3" t="s">
        <v>317</v>
      </c>
      <c r="C49" s="3" t="s">
        <v>296</v>
      </c>
      <c r="D49" s="4">
        <f>ROUND(60000,2)</f>
        <v>60000</v>
      </c>
      <c r="E49" s="4">
        <f t="shared" si="4"/>
        <v>0</v>
      </c>
      <c r="F49" s="4">
        <f>ROUND(60000,2)</f>
        <v>60000</v>
      </c>
      <c r="G49" s="4">
        <f t="shared" si="6"/>
        <v>0</v>
      </c>
      <c r="H49" s="4">
        <f>ROUND(0,2)</f>
        <v>0</v>
      </c>
      <c r="I49" s="4">
        <f t="shared" si="5"/>
        <v>0</v>
      </c>
      <c r="J49" s="4">
        <f aca="true" t="shared" si="8" ref="J49:J54">ROUND(0,2)</f>
        <v>0</v>
      </c>
      <c r="K49" s="4">
        <f t="shared" si="7"/>
        <v>0</v>
      </c>
    </row>
    <row r="50" spans="1:11" ht="36.75">
      <c r="A50" s="2" t="s">
        <v>379</v>
      </c>
      <c r="B50" s="3" t="s">
        <v>14</v>
      </c>
      <c r="C50" s="3" t="s">
        <v>119</v>
      </c>
      <c r="D50" s="4">
        <f>ROUND(842970,2)</f>
        <v>842970</v>
      </c>
      <c r="E50" s="4">
        <f t="shared" si="4"/>
        <v>0</v>
      </c>
      <c r="F50" s="4">
        <f>ROUND(382970,2)</f>
        <v>382970</v>
      </c>
      <c r="G50" s="4">
        <f>ROUND(460000,2)</f>
        <v>460000</v>
      </c>
      <c r="H50" s="4">
        <f>ROUND(44400,2)</f>
        <v>44400</v>
      </c>
      <c r="I50" s="4">
        <f t="shared" si="5"/>
        <v>0</v>
      </c>
      <c r="J50" s="4">
        <f t="shared" si="8"/>
        <v>0</v>
      </c>
      <c r="K50" s="4">
        <f>ROUND(44400,2)</f>
        <v>44400</v>
      </c>
    </row>
    <row r="51" spans="1:11" ht="18.75">
      <c r="A51" s="2" t="s">
        <v>100</v>
      </c>
      <c r="B51" s="3" t="s">
        <v>253</v>
      </c>
      <c r="C51" s="3" t="s">
        <v>260</v>
      </c>
      <c r="D51" s="4">
        <f>ROUND(842970,2)</f>
        <v>842970</v>
      </c>
      <c r="E51" s="4">
        <f t="shared" si="4"/>
        <v>0</v>
      </c>
      <c r="F51" s="4">
        <f>ROUND(382970,2)</f>
        <v>382970</v>
      </c>
      <c r="G51" s="4">
        <f>ROUND(460000,2)</f>
        <v>460000</v>
      </c>
      <c r="H51" s="4">
        <f>ROUND(44400,2)</f>
        <v>44400</v>
      </c>
      <c r="I51" s="4">
        <f t="shared" si="5"/>
        <v>0</v>
      </c>
      <c r="J51" s="4">
        <f t="shared" si="8"/>
        <v>0</v>
      </c>
      <c r="K51" s="4">
        <f>ROUND(44400,2)</f>
        <v>44400</v>
      </c>
    </row>
    <row r="52" spans="1:11" ht="18.75">
      <c r="A52" s="2" t="s">
        <v>233</v>
      </c>
      <c r="B52" s="3" t="s">
        <v>228</v>
      </c>
      <c r="C52" s="3" t="s">
        <v>136</v>
      </c>
      <c r="D52" s="4">
        <f>ROUND(842970,2)</f>
        <v>842970</v>
      </c>
      <c r="E52" s="4">
        <f t="shared" si="4"/>
        <v>0</v>
      </c>
      <c r="F52" s="4">
        <f>ROUND(382970,2)</f>
        <v>382970</v>
      </c>
      <c r="G52" s="4">
        <f>ROUND(460000,2)</f>
        <v>460000</v>
      </c>
      <c r="H52" s="4">
        <f>ROUND(44400,2)</f>
        <v>44400</v>
      </c>
      <c r="I52" s="4">
        <f t="shared" si="5"/>
        <v>0</v>
      </c>
      <c r="J52" s="4">
        <f t="shared" si="8"/>
        <v>0</v>
      </c>
      <c r="K52" s="4">
        <f>ROUND(44400,2)</f>
        <v>44400</v>
      </c>
    </row>
    <row r="53" spans="1:11" ht="36.75">
      <c r="A53" s="2" t="s">
        <v>32</v>
      </c>
      <c r="B53" s="3" t="s">
        <v>232</v>
      </c>
      <c r="C53" s="3" t="s">
        <v>153</v>
      </c>
      <c r="D53" s="4">
        <f>ROUND(382970,2)</f>
        <v>382970</v>
      </c>
      <c r="E53" s="4">
        <f t="shared" si="4"/>
        <v>0</v>
      </c>
      <c r="F53" s="4">
        <f>ROUND(382970,2)</f>
        <v>382970</v>
      </c>
      <c r="G53" s="4">
        <f>ROUND(0,2)</f>
        <v>0</v>
      </c>
      <c r="H53" s="4">
        <f>ROUND(0,2)</f>
        <v>0</v>
      </c>
      <c r="I53" s="4">
        <f t="shared" si="5"/>
        <v>0</v>
      </c>
      <c r="J53" s="4">
        <f t="shared" si="8"/>
        <v>0</v>
      </c>
      <c r="K53" s="4">
        <f>ROUND(0,2)</f>
        <v>0</v>
      </c>
    </row>
    <row r="54" spans="1:11" ht="36.75">
      <c r="A54" s="2" t="s">
        <v>191</v>
      </c>
      <c r="B54" s="3" t="s">
        <v>16</v>
      </c>
      <c r="C54" s="3" t="s">
        <v>341</v>
      </c>
      <c r="D54" s="4">
        <f>ROUND(460000,2)</f>
        <v>460000</v>
      </c>
      <c r="E54" s="4">
        <f t="shared" si="4"/>
        <v>0</v>
      </c>
      <c r="F54" s="4">
        <f>ROUND(0,2)</f>
        <v>0</v>
      </c>
      <c r="G54" s="4">
        <f>ROUND(460000,2)</f>
        <v>460000</v>
      </c>
      <c r="H54" s="4">
        <f>ROUND(44400,2)</f>
        <v>44400</v>
      </c>
      <c r="I54" s="4">
        <f t="shared" si="5"/>
        <v>0</v>
      </c>
      <c r="J54" s="4">
        <f t="shared" si="8"/>
        <v>0</v>
      </c>
      <c r="K54" s="4">
        <f>ROUND(44400,2)</f>
        <v>44400</v>
      </c>
    </row>
    <row r="55" spans="1:11" ht="27.75">
      <c r="A55" s="2" t="s">
        <v>373</v>
      </c>
      <c r="B55" s="3" t="s">
        <v>246</v>
      </c>
      <c r="C55" s="3" t="s">
        <v>17</v>
      </c>
      <c r="D55" s="4">
        <f>ROUND(4650000,2)</f>
        <v>4650000</v>
      </c>
      <c r="E55" s="4">
        <f t="shared" si="4"/>
        <v>0</v>
      </c>
      <c r="F55" s="4">
        <f>ROUND(3300000,2)</f>
        <v>3300000</v>
      </c>
      <c r="G55" s="4">
        <f>ROUND(1350000,2)</f>
        <v>1350000</v>
      </c>
      <c r="H55" s="4">
        <f>ROUND(22014,2)</f>
        <v>22014</v>
      </c>
      <c r="I55" s="4">
        <f t="shared" si="5"/>
        <v>0</v>
      </c>
      <c r="J55" s="4">
        <f>ROUND(10504.67,2)</f>
        <v>10504.67</v>
      </c>
      <c r="K55" s="4">
        <f>ROUND(11509.33,2)</f>
        <v>11509.33</v>
      </c>
    </row>
    <row r="56" spans="1:11" ht="99.75">
      <c r="A56" s="2" t="s">
        <v>293</v>
      </c>
      <c r="B56" s="3" t="s">
        <v>127</v>
      </c>
      <c r="C56" s="3" t="s">
        <v>13</v>
      </c>
      <c r="D56" s="4">
        <f>ROUND(700000,2)</f>
        <v>700000</v>
      </c>
      <c r="E56" s="4">
        <f t="shared" si="4"/>
        <v>0</v>
      </c>
      <c r="F56" s="4">
        <f>ROUND(300000,2)</f>
        <v>300000</v>
      </c>
      <c r="G56" s="4">
        <f>ROUND(400000,2)</f>
        <v>400000</v>
      </c>
      <c r="H56" s="4">
        <f>ROUND(-6560,2)</f>
        <v>-6560</v>
      </c>
      <c r="I56" s="4">
        <f t="shared" si="5"/>
        <v>0</v>
      </c>
      <c r="J56" s="4">
        <f aca="true" t="shared" si="9" ref="J56:J62">ROUND(0,2)</f>
        <v>0</v>
      </c>
      <c r="K56" s="4">
        <f>ROUND(-6560,2)</f>
        <v>-6560</v>
      </c>
    </row>
    <row r="57" spans="1:11" ht="108.75">
      <c r="A57" s="2" t="s">
        <v>336</v>
      </c>
      <c r="B57" s="3" t="s">
        <v>131</v>
      </c>
      <c r="C57" s="3" t="s">
        <v>28</v>
      </c>
      <c r="D57" s="4">
        <f>ROUND(300000,2)</f>
        <v>300000</v>
      </c>
      <c r="E57" s="4">
        <f t="shared" si="4"/>
        <v>0</v>
      </c>
      <c r="F57" s="4">
        <f>ROUND(300000,2)</f>
        <v>300000</v>
      </c>
      <c r="G57" s="4">
        <f>ROUND(0,2)</f>
        <v>0</v>
      </c>
      <c r="H57" s="4">
        <f>ROUND(0,2)</f>
        <v>0</v>
      </c>
      <c r="I57" s="4">
        <f t="shared" si="5"/>
        <v>0</v>
      </c>
      <c r="J57" s="4">
        <f t="shared" si="9"/>
        <v>0</v>
      </c>
      <c r="K57" s="4">
        <f>ROUND(0,2)</f>
        <v>0</v>
      </c>
    </row>
    <row r="58" spans="1:11" ht="108.75">
      <c r="A58" s="2" t="s">
        <v>292</v>
      </c>
      <c r="B58" s="3" t="s">
        <v>252</v>
      </c>
      <c r="C58" s="3" t="s">
        <v>171</v>
      </c>
      <c r="D58" s="4">
        <f>ROUND(300000,2)</f>
        <v>300000</v>
      </c>
      <c r="E58" s="4">
        <f t="shared" si="4"/>
        <v>0</v>
      </c>
      <c r="F58" s="4">
        <f>ROUND(300000,2)</f>
        <v>300000</v>
      </c>
      <c r="G58" s="4">
        <f>ROUND(0,2)</f>
        <v>0</v>
      </c>
      <c r="H58" s="4">
        <f>ROUND(0,2)</f>
        <v>0</v>
      </c>
      <c r="I58" s="4">
        <f t="shared" si="5"/>
        <v>0</v>
      </c>
      <c r="J58" s="4">
        <f t="shared" si="9"/>
        <v>0</v>
      </c>
      <c r="K58" s="4">
        <f>ROUND(0,2)</f>
        <v>0</v>
      </c>
    </row>
    <row r="59" spans="1:11" ht="99.75">
      <c r="A59" s="2" t="s">
        <v>90</v>
      </c>
      <c r="B59" s="3" t="s">
        <v>294</v>
      </c>
      <c r="C59" s="3" t="s">
        <v>206</v>
      </c>
      <c r="D59" s="4">
        <f>ROUND(400000,2)</f>
        <v>400000</v>
      </c>
      <c r="E59" s="4">
        <f t="shared" si="4"/>
        <v>0</v>
      </c>
      <c r="F59" s="4">
        <f>ROUND(0,2)</f>
        <v>0</v>
      </c>
      <c r="G59" s="4">
        <f>ROUND(400000,2)</f>
        <v>400000</v>
      </c>
      <c r="H59" s="4">
        <f>ROUND(0,2)</f>
        <v>0</v>
      </c>
      <c r="I59" s="4">
        <f t="shared" si="5"/>
        <v>0</v>
      </c>
      <c r="J59" s="4">
        <f t="shared" si="9"/>
        <v>0</v>
      </c>
      <c r="K59" s="4">
        <f>ROUND(0,2)</f>
        <v>0</v>
      </c>
    </row>
    <row r="60" spans="1:11" ht="99.75">
      <c r="A60" s="2" t="s">
        <v>36</v>
      </c>
      <c r="B60" s="3" t="s">
        <v>88</v>
      </c>
      <c r="C60" s="3" t="s">
        <v>320</v>
      </c>
      <c r="D60" s="4">
        <f>ROUND(400000,2)</f>
        <v>400000</v>
      </c>
      <c r="E60" s="4">
        <f t="shared" si="4"/>
        <v>0</v>
      </c>
      <c r="F60" s="4">
        <f>ROUND(0,2)</f>
        <v>0</v>
      </c>
      <c r="G60" s="4">
        <f>ROUND(400000,2)</f>
        <v>400000</v>
      </c>
      <c r="H60" s="4">
        <f>ROUND(0,2)</f>
        <v>0</v>
      </c>
      <c r="I60" s="4">
        <f t="shared" si="5"/>
        <v>0</v>
      </c>
      <c r="J60" s="4">
        <f t="shared" si="9"/>
        <v>0</v>
      </c>
      <c r="K60" s="4">
        <f>ROUND(0,2)</f>
        <v>0</v>
      </c>
    </row>
    <row r="61" spans="1:11" ht="99.75">
      <c r="A61" s="2" t="s">
        <v>265</v>
      </c>
      <c r="B61" s="3" t="s">
        <v>203</v>
      </c>
      <c r="C61" s="3" t="s">
        <v>315</v>
      </c>
      <c r="D61" s="4">
        <f>ROUND(0,2)</f>
        <v>0</v>
      </c>
      <c r="E61" s="4">
        <f t="shared" si="4"/>
        <v>0</v>
      </c>
      <c r="F61" s="4">
        <f>ROUND(0,2)</f>
        <v>0</v>
      </c>
      <c r="G61" s="4">
        <f>ROUND(0,2)</f>
        <v>0</v>
      </c>
      <c r="H61" s="4">
        <f>ROUND(-6560,2)</f>
        <v>-6560</v>
      </c>
      <c r="I61" s="4">
        <f t="shared" si="5"/>
        <v>0</v>
      </c>
      <c r="J61" s="4">
        <f t="shared" si="9"/>
        <v>0</v>
      </c>
      <c r="K61" s="4">
        <f>ROUND(-6560,2)</f>
        <v>-6560</v>
      </c>
    </row>
    <row r="62" spans="1:11" ht="99.75">
      <c r="A62" s="2" t="s">
        <v>230</v>
      </c>
      <c r="B62" s="3" t="s">
        <v>179</v>
      </c>
      <c r="C62" s="3" t="s">
        <v>378</v>
      </c>
      <c r="D62" s="4">
        <f>ROUND(0,2)</f>
        <v>0</v>
      </c>
      <c r="E62" s="4">
        <f t="shared" si="4"/>
        <v>0</v>
      </c>
      <c r="F62" s="4">
        <f>ROUND(0,2)</f>
        <v>0</v>
      </c>
      <c r="G62" s="4">
        <f>ROUND(0,2)</f>
        <v>0</v>
      </c>
      <c r="H62" s="4">
        <f>ROUND(-6560,2)</f>
        <v>-6560</v>
      </c>
      <c r="I62" s="4">
        <f t="shared" si="5"/>
        <v>0</v>
      </c>
      <c r="J62" s="4">
        <f t="shared" si="9"/>
        <v>0</v>
      </c>
      <c r="K62" s="4">
        <f>ROUND(-6560,2)</f>
        <v>-6560</v>
      </c>
    </row>
    <row r="63" spans="1:11" ht="63.75">
      <c r="A63" s="2" t="s">
        <v>298</v>
      </c>
      <c r="B63" s="3" t="s">
        <v>242</v>
      </c>
      <c r="C63" s="3" t="s">
        <v>240</v>
      </c>
      <c r="D63" s="4">
        <f>ROUND(3950000,2)</f>
        <v>3950000</v>
      </c>
      <c r="E63" s="4">
        <f t="shared" si="4"/>
        <v>0</v>
      </c>
      <c r="F63" s="4">
        <f>ROUND(3000000,2)</f>
        <v>3000000</v>
      </c>
      <c r="G63" s="4">
        <f>ROUND(950000,2)</f>
        <v>950000</v>
      </c>
      <c r="H63" s="4">
        <f>ROUND(28574,2)</f>
        <v>28574</v>
      </c>
      <c r="I63" s="4">
        <f t="shared" si="5"/>
        <v>0</v>
      </c>
      <c r="J63" s="4">
        <f>ROUND(10504.67,2)</f>
        <v>10504.67</v>
      </c>
      <c r="K63" s="4">
        <f>ROUND(18069.33,2)</f>
        <v>18069.33</v>
      </c>
    </row>
    <row r="64" spans="1:11" ht="36.75">
      <c r="A64" s="2" t="s">
        <v>172</v>
      </c>
      <c r="B64" s="3" t="s">
        <v>338</v>
      </c>
      <c r="C64" s="3" t="s">
        <v>2</v>
      </c>
      <c r="D64" s="4">
        <f>ROUND(1300000,2)</f>
        <v>1300000</v>
      </c>
      <c r="E64" s="4">
        <f t="shared" si="4"/>
        <v>0</v>
      </c>
      <c r="F64" s="4">
        <f>ROUND(650000,2)</f>
        <v>650000</v>
      </c>
      <c r="G64" s="4">
        <f>ROUND(650000,2)</f>
        <v>650000</v>
      </c>
      <c r="H64" s="4">
        <f>ROUND(28574,2)</f>
        <v>28574</v>
      </c>
      <c r="I64" s="4">
        <f t="shared" si="5"/>
        <v>0</v>
      </c>
      <c r="J64" s="4">
        <f>ROUND(10504.67,2)</f>
        <v>10504.67</v>
      </c>
      <c r="K64" s="4">
        <f>ROUND(18069.33,2)</f>
        <v>18069.33</v>
      </c>
    </row>
    <row r="65" spans="1:11" ht="54.75">
      <c r="A65" s="2" t="s">
        <v>163</v>
      </c>
      <c r="B65" s="3" t="s">
        <v>214</v>
      </c>
      <c r="C65" s="3" t="s">
        <v>51</v>
      </c>
      <c r="D65" s="4">
        <f>ROUND(1300000,2)</f>
        <v>1300000</v>
      </c>
      <c r="E65" s="4">
        <f t="shared" si="4"/>
        <v>0</v>
      </c>
      <c r="F65" s="4">
        <f>ROUND(650000,2)</f>
        <v>650000</v>
      </c>
      <c r="G65" s="4">
        <f>ROUND(650000,2)</f>
        <v>650000</v>
      </c>
      <c r="H65" s="4">
        <f>ROUND(28574,2)</f>
        <v>28574</v>
      </c>
      <c r="I65" s="4">
        <f t="shared" si="5"/>
        <v>0</v>
      </c>
      <c r="J65" s="4">
        <f>ROUND(10504.67,2)</f>
        <v>10504.67</v>
      </c>
      <c r="K65" s="4">
        <f>ROUND(18069.33,2)</f>
        <v>18069.33</v>
      </c>
    </row>
    <row r="66" spans="1:11" ht="54.75">
      <c r="A66" s="2" t="s">
        <v>377</v>
      </c>
      <c r="B66" s="3" t="s">
        <v>143</v>
      </c>
      <c r="C66" s="3" t="s">
        <v>340</v>
      </c>
      <c r="D66" s="4">
        <f>ROUND(2650000,2)</f>
        <v>2650000</v>
      </c>
      <c r="E66" s="4">
        <f t="shared" si="4"/>
        <v>0</v>
      </c>
      <c r="F66" s="4">
        <f>ROUND(2350000,2)</f>
        <v>2350000</v>
      </c>
      <c r="G66" s="4">
        <f>ROUND(300000,2)</f>
        <v>300000</v>
      </c>
      <c r="H66" s="4">
        <f>ROUND(0,2)</f>
        <v>0</v>
      </c>
      <c r="I66" s="4">
        <f t="shared" si="5"/>
        <v>0</v>
      </c>
      <c r="J66" s="4">
        <f aca="true" t="shared" si="10" ref="J66:K68">ROUND(0,2)</f>
        <v>0</v>
      </c>
      <c r="K66" s="4">
        <f t="shared" si="10"/>
        <v>0</v>
      </c>
    </row>
    <row r="67" spans="1:11" ht="63.75">
      <c r="A67" s="2" t="s">
        <v>271</v>
      </c>
      <c r="B67" s="3" t="s">
        <v>147</v>
      </c>
      <c r="C67" s="3" t="s">
        <v>117</v>
      </c>
      <c r="D67" s="4">
        <f>ROUND(2350000,2)</f>
        <v>2350000</v>
      </c>
      <c r="E67" s="4">
        <f t="shared" si="4"/>
        <v>0</v>
      </c>
      <c r="F67" s="4">
        <f>ROUND(2350000,2)</f>
        <v>2350000</v>
      </c>
      <c r="G67" s="4">
        <f>ROUND(0,2)</f>
        <v>0</v>
      </c>
      <c r="H67" s="4">
        <f>ROUND(0,2)</f>
        <v>0</v>
      </c>
      <c r="I67" s="4">
        <f t="shared" si="5"/>
        <v>0</v>
      </c>
      <c r="J67" s="4">
        <f t="shared" si="10"/>
        <v>0</v>
      </c>
      <c r="K67" s="4">
        <f t="shared" si="10"/>
        <v>0</v>
      </c>
    </row>
    <row r="68" spans="1:11" ht="54.75">
      <c r="A68" s="2" t="s">
        <v>53</v>
      </c>
      <c r="B68" s="3" t="s">
        <v>359</v>
      </c>
      <c r="C68" s="3" t="s">
        <v>106</v>
      </c>
      <c r="D68" s="4">
        <f>ROUND(300000,2)</f>
        <v>300000</v>
      </c>
      <c r="E68" s="4">
        <f t="shared" si="4"/>
        <v>0</v>
      </c>
      <c r="F68" s="4">
        <f>ROUND(0,2)</f>
        <v>0</v>
      </c>
      <c r="G68" s="4">
        <f>ROUND(300000,2)</f>
        <v>300000</v>
      </c>
      <c r="H68" s="4">
        <f>ROUND(0,2)</f>
        <v>0</v>
      </c>
      <c r="I68" s="4">
        <f t="shared" si="5"/>
        <v>0</v>
      </c>
      <c r="J68" s="4">
        <f t="shared" si="10"/>
        <v>0</v>
      </c>
      <c r="K68" s="4">
        <f t="shared" si="10"/>
        <v>0</v>
      </c>
    </row>
    <row r="69" spans="1:11" ht="18.75">
      <c r="A69" s="2" t="s">
        <v>199</v>
      </c>
      <c r="B69" s="3" t="s">
        <v>92</v>
      </c>
      <c r="C69" s="3" t="s">
        <v>194</v>
      </c>
      <c r="D69" s="4">
        <f>ROUND(1900000,2)</f>
        <v>1900000</v>
      </c>
      <c r="E69" s="4">
        <f t="shared" si="4"/>
        <v>0</v>
      </c>
      <c r="F69" s="4">
        <f>ROUND(1900000,2)</f>
        <v>1900000</v>
      </c>
      <c r="G69" s="4">
        <f aca="true" t="shared" si="11" ref="G69:G81">ROUND(0,2)</f>
        <v>0</v>
      </c>
      <c r="H69" s="4">
        <f>ROUND(63400,2)</f>
        <v>63400</v>
      </c>
      <c r="I69" s="4">
        <f t="shared" si="5"/>
        <v>0</v>
      </c>
      <c r="J69" s="4">
        <f>ROUND(63400,2)</f>
        <v>63400</v>
      </c>
      <c r="K69" s="4">
        <f aca="true" t="shared" si="12" ref="K69:K81">ROUND(0,2)</f>
        <v>0</v>
      </c>
    </row>
    <row r="70" spans="1:11" ht="27.75">
      <c r="A70" s="2" t="s">
        <v>325</v>
      </c>
      <c r="B70" s="3" t="s">
        <v>312</v>
      </c>
      <c r="C70" s="3" t="s">
        <v>300</v>
      </c>
      <c r="D70" s="4">
        <f>ROUND(20000,2)</f>
        <v>20000</v>
      </c>
      <c r="E70" s="4">
        <f aca="true" t="shared" si="13" ref="E70:E88">ROUND(0,2)</f>
        <v>0</v>
      </c>
      <c r="F70" s="4">
        <f>ROUND(20000,2)</f>
        <v>20000</v>
      </c>
      <c r="G70" s="4">
        <f t="shared" si="11"/>
        <v>0</v>
      </c>
      <c r="H70" s="4">
        <f>ROUND(0,2)</f>
        <v>0</v>
      </c>
      <c r="I70" s="4">
        <f aca="true" t="shared" si="14" ref="I70:I88">ROUND(0,2)</f>
        <v>0</v>
      </c>
      <c r="J70" s="4">
        <f>ROUND(0,2)</f>
        <v>0</v>
      </c>
      <c r="K70" s="4">
        <f t="shared" si="12"/>
        <v>0</v>
      </c>
    </row>
    <row r="71" spans="1:11" ht="126.75">
      <c r="A71" s="2" t="s">
        <v>105</v>
      </c>
      <c r="B71" s="3" t="s">
        <v>368</v>
      </c>
      <c r="C71" s="3" t="s">
        <v>157</v>
      </c>
      <c r="D71" s="4">
        <f>ROUND(20000,2)</f>
        <v>20000</v>
      </c>
      <c r="E71" s="4">
        <f t="shared" si="13"/>
        <v>0</v>
      </c>
      <c r="F71" s="4">
        <f>ROUND(20000,2)</f>
        <v>20000</v>
      </c>
      <c r="G71" s="4">
        <f t="shared" si="11"/>
        <v>0</v>
      </c>
      <c r="H71" s="4">
        <f>ROUND(0,2)</f>
        <v>0</v>
      </c>
      <c r="I71" s="4">
        <f t="shared" si="14"/>
        <v>0</v>
      </c>
      <c r="J71" s="4">
        <f>ROUND(0,2)</f>
        <v>0</v>
      </c>
      <c r="K71" s="4">
        <f t="shared" si="12"/>
        <v>0</v>
      </c>
    </row>
    <row r="72" spans="1:11" ht="63.75">
      <c r="A72" s="2" t="s">
        <v>347</v>
      </c>
      <c r="B72" s="3" t="s">
        <v>24</v>
      </c>
      <c r="C72" s="3" t="s">
        <v>126</v>
      </c>
      <c r="D72" s="4">
        <f>ROUND(20000,2)</f>
        <v>20000</v>
      </c>
      <c r="E72" s="4">
        <f t="shared" si="13"/>
        <v>0</v>
      </c>
      <c r="F72" s="4">
        <f>ROUND(20000,2)</f>
        <v>20000</v>
      </c>
      <c r="G72" s="4">
        <f t="shared" si="11"/>
        <v>0</v>
      </c>
      <c r="H72" s="4">
        <f>ROUND(3000,2)</f>
        <v>3000</v>
      </c>
      <c r="I72" s="4">
        <f t="shared" si="14"/>
        <v>0</v>
      </c>
      <c r="J72" s="4">
        <f>ROUND(3000,2)</f>
        <v>3000</v>
      </c>
      <c r="K72" s="4">
        <f t="shared" si="12"/>
        <v>0</v>
      </c>
    </row>
    <row r="73" spans="1:11" ht="108.75">
      <c r="A73" s="2" t="s">
        <v>38</v>
      </c>
      <c r="B73" s="3" t="s">
        <v>97</v>
      </c>
      <c r="C73" s="3" t="s">
        <v>342</v>
      </c>
      <c r="D73" s="4">
        <f>ROUND(160000,2)</f>
        <v>160000</v>
      </c>
      <c r="E73" s="4">
        <f t="shared" si="13"/>
        <v>0</v>
      </c>
      <c r="F73" s="4">
        <f>ROUND(160000,2)</f>
        <v>160000</v>
      </c>
      <c r="G73" s="4">
        <f t="shared" si="11"/>
        <v>0</v>
      </c>
      <c r="H73" s="4">
        <f aca="true" t="shared" si="15" ref="H73:H78">ROUND(0,2)</f>
        <v>0</v>
      </c>
      <c r="I73" s="4">
        <f t="shared" si="14"/>
        <v>0</v>
      </c>
      <c r="J73" s="4">
        <f aca="true" t="shared" si="16" ref="J73:J78">ROUND(0,2)</f>
        <v>0</v>
      </c>
      <c r="K73" s="4">
        <f t="shared" si="12"/>
        <v>0</v>
      </c>
    </row>
    <row r="74" spans="1:11" ht="27.75">
      <c r="A74" s="2" t="s">
        <v>188</v>
      </c>
      <c r="B74" s="3" t="s">
        <v>161</v>
      </c>
      <c r="C74" s="3" t="s">
        <v>129</v>
      </c>
      <c r="D74" s="4">
        <f>ROUND(60000,2)</f>
        <v>60000</v>
      </c>
      <c r="E74" s="4">
        <f t="shared" si="13"/>
        <v>0</v>
      </c>
      <c r="F74" s="4">
        <f>ROUND(60000,2)</f>
        <v>60000</v>
      </c>
      <c r="G74" s="4">
        <f t="shared" si="11"/>
        <v>0</v>
      </c>
      <c r="H74" s="4">
        <f t="shared" si="15"/>
        <v>0</v>
      </c>
      <c r="I74" s="4">
        <f t="shared" si="14"/>
        <v>0</v>
      </c>
      <c r="J74" s="4">
        <f t="shared" si="16"/>
        <v>0</v>
      </c>
      <c r="K74" s="4">
        <f t="shared" si="12"/>
        <v>0</v>
      </c>
    </row>
    <row r="75" spans="1:11" ht="45.75">
      <c r="A75" s="2" t="s">
        <v>35</v>
      </c>
      <c r="B75" s="3" t="s">
        <v>351</v>
      </c>
      <c r="C75" s="3" t="s">
        <v>26</v>
      </c>
      <c r="D75" s="4">
        <f>ROUND(40000,2)</f>
        <v>40000</v>
      </c>
      <c r="E75" s="4">
        <f t="shared" si="13"/>
        <v>0</v>
      </c>
      <c r="F75" s="4">
        <f>ROUND(40000,2)</f>
        <v>40000</v>
      </c>
      <c r="G75" s="4">
        <f t="shared" si="11"/>
        <v>0</v>
      </c>
      <c r="H75" s="4">
        <f t="shared" si="15"/>
        <v>0</v>
      </c>
      <c r="I75" s="4">
        <f t="shared" si="14"/>
        <v>0</v>
      </c>
      <c r="J75" s="4">
        <f t="shared" si="16"/>
        <v>0</v>
      </c>
      <c r="K75" s="4">
        <f t="shared" si="12"/>
        <v>0</v>
      </c>
    </row>
    <row r="76" spans="1:11" ht="36.75">
      <c r="A76" s="2" t="s">
        <v>196</v>
      </c>
      <c r="B76" s="3" t="s">
        <v>263</v>
      </c>
      <c r="C76" s="3" t="s">
        <v>218</v>
      </c>
      <c r="D76" s="4">
        <f>ROUND(20000,2)</f>
        <v>20000</v>
      </c>
      <c r="E76" s="4">
        <f t="shared" si="13"/>
        <v>0</v>
      </c>
      <c r="F76" s="4">
        <f>ROUND(20000,2)</f>
        <v>20000</v>
      </c>
      <c r="G76" s="4">
        <f t="shared" si="11"/>
        <v>0</v>
      </c>
      <c r="H76" s="4">
        <f t="shared" si="15"/>
        <v>0</v>
      </c>
      <c r="I76" s="4">
        <f t="shared" si="14"/>
        <v>0</v>
      </c>
      <c r="J76" s="4">
        <f t="shared" si="16"/>
        <v>0</v>
      </c>
      <c r="K76" s="4">
        <f t="shared" si="12"/>
        <v>0</v>
      </c>
    </row>
    <row r="77" spans="1:11" ht="36.75">
      <c r="A77" s="2" t="s">
        <v>370</v>
      </c>
      <c r="B77" s="3" t="s">
        <v>245</v>
      </c>
      <c r="C77" s="3" t="s">
        <v>25</v>
      </c>
      <c r="D77" s="4">
        <f>ROUND(20000,2)</f>
        <v>20000</v>
      </c>
      <c r="E77" s="4">
        <f t="shared" si="13"/>
        <v>0</v>
      </c>
      <c r="F77" s="4">
        <f>ROUND(20000,2)</f>
        <v>20000</v>
      </c>
      <c r="G77" s="4">
        <f t="shared" si="11"/>
        <v>0</v>
      </c>
      <c r="H77" s="4">
        <f t="shared" si="15"/>
        <v>0</v>
      </c>
      <c r="I77" s="4">
        <f t="shared" si="14"/>
        <v>0</v>
      </c>
      <c r="J77" s="4">
        <f t="shared" si="16"/>
        <v>0</v>
      </c>
      <c r="K77" s="4">
        <f t="shared" si="12"/>
        <v>0</v>
      </c>
    </row>
    <row r="78" spans="1:11" ht="27.75">
      <c r="A78" s="2" t="s">
        <v>112</v>
      </c>
      <c r="B78" s="3" t="s">
        <v>56</v>
      </c>
      <c r="C78" s="3" t="s">
        <v>115</v>
      </c>
      <c r="D78" s="4">
        <f>ROUND(20000,2)</f>
        <v>20000</v>
      </c>
      <c r="E78" s="4">
        <f t="shared" si="13"/>
        <v>0</v>
      </c>
      <c r="F78" s="4">
        <f>ROUND(20000,2)</f>
        <v>20000</v>
      </c>
      <c r="G78" s="4">
        <f t="shared" si="11"/>
        <v>0</v>
      </c>
      <c r="H78" s="4">
        <f t="shared" si="15"/>
        <v>0</v>
      </c>
      <c r="I78" s="4">
        <f t="shared" si="14"/>
        <v>0</v>
      </c>
      <c r="J78" s="4">
        <f t="shared" si="16"/>
        <v>0</v>
      </c>
      <c r="K78" s="4">
        <f t="shared" si="12"/>
        <v>0</v>
      </c>
    </row>
    <row r="79" spans="1:11" ht="63.75">
      <c r="A79" s="2" t="s">
        <v>0</v>
      </c>
      <c r="B79" s="3" t="s">
        <v>40</v>
      </c>
      <c r="C79" s="3" t="s">
        <v>330</v>
      </c>
      <c r="D79" s="4">
        <f>ROUND(200000,2)</f>
        <v>200000</v>
      </c>
      <c r="E79" s="4">
        <f t="shared" si="13"/>
        <v>0</v>
      </c>
      <c r="F79" s="4">
        <f>ROUND(200000,2)</f>
        <v>200000</v>
      </c>
      <c r="G79" s="4">
        <f t="shared" si="11"/>
        <v>0</v>
      </c>
      <c r="H79" s="4">
        <f>ROUND(1500,2)</f>
        <v>1500</v>
      </c>
      <c r="I79" s="4">
        <f t="shared" si="14"/>
        <v>0</v>
      </c>
      <c r="J79" s="4">
        <f>ROUND(1500,2)</f>
        <v>1500</v>
      </c>
      <c r="K79" s="4">
        <f t="shared" si="12"/>
        <v>0</v>
      </c>
    </row>
    <row r="80" spans="1:11" ht="27.75">
      <c r="A80" s="2" t="s">
        <v>72</v>
      </c>
      <c r="B80" s="3" t="s">
        <v>198</v>
      </c>
      <c r="C80" s="3" t="s">
        <v>306</v>
      </c>
      <c r="D80" s="4">
        <f>ROUND(1500000,2)</f>
        <v>1500000</v>
      </c>
      <c r="E80" s="4">
        <f t="shared" si="13"/>
        <v>0</v>
      </c>
      <c r="F80" s="4">
        <f>ROUND(1500000,2)</f>
        <v>1500000</v>
      </c>
      <c r="G80" s="4">
        <f t="shared" si="11"/>
        <v>0</v>
      </c>
      <c r="H80" s="4">
        <f>ROUND(58900,2)</f>
        <v>58900</v>
      </c>
      <c r="I80" s="4">
        <f t="shared" si="14"/>
        <v>0</v>
      </c>
      <c r="J80" s="4">
        <f>ROUND(58900,2)</f>
        <v>58900</v>
      </c>
      <c r="K80" s="4">
        <f t="shared" si="12"/>
        <v>0</v>
      </c>
    </row>
    <row r="81" spans="1:11" ht="45.75">
      <c r="A81" s="2" t="s">
        <v>289</v>
      </c>
      <c r="B81" s="3" t="s">
        <v>48</v>
      </c>
      <c r="C81" s="3" t="s">
        <v>236</v>
      </c>
      <c r="D81" s="4">
        <f>ROUND(1500000,2)</f>
        <v>1500000</v>
      </c>
      <c r="E81" s="4">
        <f t="shared" si="13"/>
        <v>0</v>
      </c>
      <c r="F81" s="4">
        <f>ROUND(1500000,2)</f>
        <v>1500000</v>
      </c>
      <c r="G81" s="4">
        <f t="shared" si="11"/>
        <v>0</v>
      </c>
      <c r="H81" s="4">
        <f>ROUND(58900,2)</f>
        <v>58900</v>
      </c>
      <c r="I81" s="4">
        <f t="shared" si="14"/>
        <v>0</v>
      </c>
      <c r="J81" s="4">
        <f>ROUND(58900,2)</f>
        <v>58900</v>
      </c>
      <c r="K81" s="4">
        <f t="shared" si="12"/>
        <v>0</v>
      </c>
    </row>
    <row r="82" spans="1:11" ht="18.75">
      <c r="A82" s="2" t="s">
        <v>41</v>
      </c>
      <c r="B82" s="3" t="s">
        <v>217</v>
      </c>
      <c r="C82" s="3" t="s">
        <v>20</v>
      </c>
      <c r="D82" s="4">
        <f>ROUND(6330900,2)</f>
        <v>6330900</v>
      </c>
      <c r="E82" s="4">
        <f t="shared" si="13"/>
        <v>0</v>
      </c>
      <c r="F82" s="4">
        <f>ROUND(5081000,2)</f>
        <v>5081000</v>
      </c>
      <c r="G82" s="4">
        <f>ROUND(1249900,2)</f>
        <v>1249900</v>
      </c>
      <c r="H82" s="4">
        <f>ROUND(1084245.31,2)</f>
        <v>1084245.31</v>
      </c>
      <c r="I82" s="4">
        <f t="shared" si="14"/>
        <v>0</v>
      </c>
      <c r="J82" s="4">
        <f>ROUND(813969.71,2)</f>
        <v>813969.71</v>
      </c>
      <c r="K82" s="4">
        <f>ROUND(270275.6,2)</f>
        <v>270275.6</v>
      </c>
    </row>
    <row r="83" spans="1:11" ht="12.75">
      <c r="A83" s="2" t="s">
        <v>184</v>
      </c>
      <c r="B83" s="3" t="s">
        <v>364</v>
      </c>
      <c r="C83" s="3" t="s">
        <v>210</v>
      </c>
      <c r="D83" s="4">
        <f>ROUND(0,2)</f>
        <v>0</v>
      </c>
      <c r="E83" s="4">
        <f t="shared" si="13"/>
        <v>0</v>
      </c>
      <c r="F83" s="4">
        <f aca="true" t="shared" si="17" ref="F83:G85">ROUND(0,2)</f>
        <v>0</v>
      </c>
      <c r="G83" s="4">
        <f t="shared" si="17"/>
        <v>0</v>
      </c>
      <c r="H83" s="4">
        <f>ROUND(583594.38,2)</f>
        <v>583594.38</v>
      </c>
      <c r="I83" s="4">
        <f t="shared" si="14"/>
        <v>0</v>
      </c>
      <c r="J83" s="4">
        <f>ROUND(381280.06,2)</f>
        <v>381280.06</v>
      </c>
      <c r="K83" s="4">
        <f>ROUND(202314.32,2)</f>
        <v>202314.32</v>
      </c>
    </row>
    <row r="84" spans="1:11" ht="27.75">
      <c r="A84" s="2" t="s">
        <v>57</v>
      </c>
      <c r="B84" s="3" t="s">
        <v>164</v>
      </c>
      <c r="C84" s="3" t="s">
        <v>140</v>
      </c>
      <c r="D84" s="4">
        <f>ROUND(0,2)</f>
        <v>0</v>
      </c>
      <c r="E84" s="4">
        <f t="shared" si="13"/>
        <v>0</v>
      </c>
      <c r="F84" s="4">
        <f t="shared" si="17"/>
        <v>0</v>
      </c>
      <c r="G84" s="4">
        <f t="shared" si="17"/>
        <v>0</v>
      </c>
      <c r="H84" s="4">
        <f>ROUND(381280.06,2)</f>
        <v>381280.06</v>
      </c>
      <c r="I84" s="4">
        <f t="shared" si="14"/>
        <v>0</v>
      </c>
      <c r="J84" s="4">
        <f>ROUND(381280.06,2)</f>
        <v>381280.06</v>
      </c>
      <c r="K84" s="4">
        <f>ROUND(0,2)</f>
        <v>0</v>
      </c>
    </row>
    <row r="85" spans="1:11" ht="27.75">
      <c r="A85" s="2" t="s">
        <v>270</v>
      </c>
      <c r="B85" s="3" t="s">
        <v>375</v>
      </c>
      <c r="C85" s="3" t="s">
        <v>310</v>
      </c>
      <c r="D85" s="4">
        <f>ROUND(0,2)</f>
        <v>0</v>
      </c>
      <c r="E85" s="4">
        <f t="shared" si="13"/>
        <v>0</v>
      </c>
      <c r="F85" s="4">
        <f t="shared" si="17"/>
        <v>0</v>
      </c>
      <c r="G85" s="4">
        <f t="shared" si="17"/>
        <v>0</v>
      </c>
      <c r="H85" s="4">
        <f>ROUND(202314.32,2)</f>
        <v>202314.32</v>
      </c>
      <c r="I85" s="4">
        <f t="shared" si="14"/>
        <v>0</v>
      </c>
      <c r="J85" s="4">
        <f>ROUND(0,2)</f>
        <v>0</v>
      </c>
      <c r="K85" s="4">
        <f>ROUND(202314.32,2)</f>
        <v>202314.32</v>
      </c>
    </row>
    <row r="86" spans="1:11" ht="12.75">
      <c r="A86" s="2" t="s">
        <v>152</v>
      </c>
      <c r="B86" s="3" t="s">
        <v>29</v>
      </c>
      <c r="C86" s="3" t="s">
        <v>314</v>
      </c>
      <c r="D86" s="4">
        <f>ROUND(6330900,2)</f>
        <v>6330900</v>
      </c>
      <c r="E86" s="4">
        <f t="shared" si="13"/>
        <v>0</v>
      </c>
      <c r="F86" s="4">
        <f>ROUND(5081000,2)</f>
        <v>5081000</v>
      </c>
      <c r="G86" s="4">
        <f>ROUND(1249900,2)</f>
        <v>1249900</v>
      </c>
      <c r="H86" s="4">
        <f>ROUND(500650.93,2)</f>
        <v>500650.93</v>
      </c>
      <c r="I86" s="4">
        <f t="shared" si="14"/>
        <v>0</v>
      </c>
      <c r="J86" s="4">
        <f>ROUND(432689.65,2)</f>
        <v>432689.65</v>
      </c>
      <c r="K86" s="4">
        <f>ROUND(67961.28,2)</f>
        <v>67961.28</v>
      </c>
    </row>
    <row r="87" spans="1:11" ht="27.75">
      <c r="A87" s="2" t="s">
        <v>64</v>
      </c>
      <c r="B87" s="3" t="s">
        <v>207</v>
      </c>
      <c r="C87" s="3" t="s">
        <v>63</v>
      </c>
      <c r="D87" s="4">
        <f>ROUND(5081000,2)</f>
        <v>5081000</v>
      </c>
      <c r="E87" s="4">
        <f t="shared" si="13"/>
        <v>0</v>
      </c>
      <c r="F87" s="4">
        <f>ROUND(5081000,2)</f>
        <v>5081000</v>
      </c>
      <c r="G87" s="4">
        <f>ROUND(0,2)</f>
        <v>0</v>
      </c>
      <c r="H87" s="4">
        <f>ROUND(432689.65,2)</f>
        <v>432689.65</v>
      </c>
      <c r="I87" s="4">
        <f t="shared" si="14"/>
        <v>0</v>
      </c>
      <c r="J87" s="4">
        <f>ROUND(432689.65,2)</f>
        <v>432689.65</v>
      </c>
      <c r="K87" s="4">
        <f>ROUND(0,2)</f>
        <v>0</v>
      </c>
    </row>
    <row r="88" spans="1:11" ht="18.75">
      <c r="A88" s="2" t="s">
        <v>209</v>
      </c>
      <c r="B88" s="3" t="s">
        <v>43</v>
      </c>
      <c r="C88" s="3" t="s">
        <v>74</v>
      </c>
      <c r="D88" s="4">
        <f>ROUND(1249900,2)</f>
        <v>1249900</v>
      </c>
      <c r="E88" s="4">
        <f t="shared" si="13"/>
        <v>0</v>
      </c>
      <c r="F88" s="4">
        <f>ROUND(0,2)</f>
        <v>0</v>
      </c>
      <c r="G88" s="4">
        <f>ROUND(1249900,2)</f>
        <v>1249900</v>
      </c>
      <c r="H88" s="4">
        <f>ROUND(67961.28,2)</f>
        <v>67961.28</v>
      </c>
      <c r="I88" s="4">
        <f t="shared" si="14"/>
        <v>0</v>
      </c>
      <c r="J88" s="4">
        <f>ROUND(0,2)</f>
        <v>0</v>
      </c>
      <c r="K88" s="4">
        <f>ROUND(67961.28,2)</f>
        <v>67961.28</v>
      </c>
    </row>
    <row r="89" spans="1:11" ht="18.75">
      <c r="A89" s="2" t="s">
        <v>137</v>
      </c>
      <c r="B89" s="3" t="s">
        <v>321</v>
      </c>
      <c r="C89" s="3" t="s">
        <v>168</v>
      </c>
      <c r="D89" s="4">
        <f>ROUND(293072000,2)</f>
        <v>293072000</v>
      </c>
      <c r="E89" s="4">
        <f>ROUND(62370300,2)</f>
        <v>62370300</v>
      </c>
      <c r="F89" s="4">
        <f>ROUND(291113100,2)</f>
        <v>291113100</v>
      </c>
      <c r="G89" s="4">
        <f>ROUND(64329200,2)</f>
        <v>64329200</v>
      </c>
      <c r="H89" s="4">
        <f>ROUND(18890825.21,2)</f>
        <v>18890825.21</v>
      </c>
      <c r="I89" s="4">
        <f>ROUND(1862900,2)</f>
        <v>1862900</v>
      </c>
      <c r="J89" s="4">
        <f>ROUND(18890825.21,2)</f>
        <v>18890825.21</v>
      </c>
      <c r="K89" s="4">
        <f>ROUND(1862900,2)</f>
        <v>1862900</v>
      </c>
    </row>
    <row r="90" spans="1:11" ht="45.75">
      <c r="A90" s="2" t="s">
        <v>80</v>
      </c>
      <c r="B90" s="3" t="s">
        <v>76</v>
      </c>
      <c r="C90" s="3" t="s">
        <v>304</v>
      </c>
      <c r="D90" s="4">
        <f>ROUND(290542000,2)</f>
        <v>290542000</v>
      </c>
      <c r="E90" s="4">
        <f>ROUND(62370300,2)</f>
        <v>62370300</v>
      </c>
      <c r="F90" s="4">
        <f>ROUND(288613100,2)</f>
        <v>288613100</v>
      </c>
      <c r="G90" s="4">
        <f>ROUND(64299200,2)</f>
        <v>64299200</v>
      </c>
      <c r="H90" s="4">
        <f>ROUND(19287556.6,2)</f>
        <v>19287556.6</v>
      </c>
      <c r="I90" s="4">
        <f>ROUND(1862900,2)</f>
        <v>1862900</v>
      </c>
      <c r="J90" s="4">
        <f>ROUND(19287556.6,2)</f>
        <v>19287556.6</v>
      </c>
      <c r="K90" s="4">
        <f>ROUND(1862900,2)</f>
        <v>1862900</v>
      </c>
    </row>
    <row r="91" spans="1:11" ht="27.75">
      <c r="A91" s="2" t="s">
        <v>254</v>
      </c>
      <c r="B91" s="3" t="s">
        <v>204</v>
      </c>
      <c r="C91" s="3" t="s">
        <v>249</v>
      </c>
      <c r="D91" s="4">
        <f>ROUND(78253000,2)</f>
        <v>78253000</v>
      </c>
      <c r="E91" s="4">
        <f>ROUND(21897900,2)</f>
        <v>21897900</v>
      </c>
      <c r="F91" s="4">
        <f>ROUND(78253000,2)</f>
        <v>78253000</v>
      </c>
      <c r="G91" s="4">
        <f>ROUND(21897900,2)</f>
        <v>21897900</v>
      </c>
      <c r="H91" s="4">
        <f>ROUND(2354000,2)</f>
        <v>2354000</v>
      </c>
      <c r="I91" s="4">
        <f>ROUND(862900,2)</f>
        <v>862900</v>
      </c>
      <c r="J91" s="4">
        <f>ROUND(2354000,2)</f>
        <v>2354000</v>
      </c>
      <c r="K91" s="4">
        <f>ROUND(862900,2)</f>
        <v>862900</v>
      </c>
    </row>
    <row r="92" spans="1:11" ht="18.75">
      <c r="A92" s="2" t="s">
        <v>86</v>
      </c>
      <c r="B92" s="3" t="s">
        <v>46</v>
      </c>
      <c r="C92" s="3" t="s">
        <v>6</v>
      </c>
      <c r="D92" s="4">
        <f>ROUND(29685000,2)</f>
        <v>29685000</v>
      </c>
      <c r="E92" s="4">
        <f>ROUND(10884900,2)</f>
        <v>10884900</v>
      </c>
      <c r="F92" s="4">
        <f>ROUND(29685000,2)</f>
        <v>29685000</v>
      </c>
      <c r="G92" s="4">
        <f>ROUND(10884900,2)</f>
        <v>10884900</v>
      </c>
      <c r="H92" s="4">
        <f>ROUND(0,2)</f>
        <v>0</v>
      </c>
      <c r="I92" s="4">
        <f aca="true" t="shared" si="18" ref="I92:K94">ROUND(0,2)</f>
        <v>0</v>
      </c>
      <c r="J92" s="4">
        <f t="shared" si="18"/>
        <v>0</v>
      </c>
      <c r="K92" s="4">
        <f t="shared" si="18"/>
        <v>0</v>
      </c>
    </row>
    <row r="93" spans="1:11" ht="36.75">
      <c r="A93" s="2" t="s">
        <v>333</v>
      </c>
      <c r="B93" s="3" t="s">
        <v>18</v>
      </c>
      <c r="C93" s="3" t="s">
        <v>135</v>
      </c>
      <c r="D93" s="4">
        <f>ROUND(29685000,2)</f>
        <v>29685000</v>
      </c>
      <c r="E93" s="4">
        <f>ROUND(0,2)</f>
        <v>0</v>
      </c>
      <c r="F93" s="4">
        <f>ROUND(29685000,2)</f>
        <v>29685000</v>
      </c>
      <c r="G93" s="4">
        <f>ROUND(0,2)</f>
        <v>0</v>
      </c>
      <c r="H93" s="4">
        <f>ROUND(0,2)</f>
        <v>0</v>
      </c>
      <c r="I93" s="4">
        <f t="shared" si="18"/>
        <v>0</v>
      </c>
      <c r="J93" s="4">
        <f t="shared" si="18"/>
        <v>0</v>
      </c>
      <c r="K93" s="4">
        <f t="shared" si="18"/>
        <v>0</v>
      </c>
    </row>
    <row r="94" spans="1:11" ht="27.75">
      <c r="A94" s="2" t="s">
        <v>99</v>
      </c>
      <c r="B94" s="3" t="s">
        <v>235</v>
      </c>
      <c r="C94" s="3" t="s">
        <v>180</v>
      </c>
      <c r="D94" s="4">
        <f>ROUND(0,2)</f>
        <v>0</v>
      </c>
      <c r="E94" s="4">
        <f>ROUND(10884900,2)</f>
        <v>10884900</v>
      </c>
      <c r="F94" s="4">
        <f>ROUND(0,2)</f>
        <v>0</v>
      </c>
      <c r="G94" s="4">
        <f>ROUND(10884900,2)</f>
        <v>10884900</v>
      </c>
      <c r="H94" s="4">
        <f>ROUND(0,2)</f>
        <v>0</v>
      </c>
      <c r="I94" s="4">
        <f t="shared" si="18"/>
        <v>0</v>
      </c>
      <c r="J94" s="4">
        <f t="shared" si="18"/>
        <v>0</v>
      </c>
      <c r="K94" s="4">
        <f t="shared" si="18"/>
        <v>0</v>
      </c>
    </row>
    <row r="95" spans="1:11" ht="27.75">
      <c r="A95" s="2" t="s">
        <v>301</v>
      </c>
      <c r="B95" s="3" t="s">
        <v>175</v>
      </c>
      <c r="C95" s="3" t="s">
        <v>37</v>
      </c>
      <c r="D95" s="4">
        <f>ROUND(48568000,2)</f>
        <v>48568000</v>
      </c>
      <c r="E95" s="4">
        <f>ROUND(0,2)</f>
        <v>0</v>
      </c>
      <c r="F95" s="4">
        <f>ROUND(48568000,2)</f>
        <v>48568000</v>
      </c>
      <c r="G95" s="4">
        <f>ROUND(0,2)</f>
        <v>0</v>
      </c>
      <c r="H95" s="4">
        <f>ROUND(2354000,2)</f>
        <v>2354000</v>
      </c>
      <c r="I95" s="4">
        <f>ROUND(0,2)</f>
        <v>0</v>
      </c>
      <c r="J95" s="4">
        <f>ROUND(2354000,2)</f>
        <v>2354000</v>
      </c>
      <c r="K95" s="4">
        <f>ROUND(0,2)</f>
        <v>0</v>
      </c>
    </row>
    <row r="96" spans="1:11" ht="36.75">
      <c r="A96" s="2" t="s">
        <v>376</v>
      </c>
      <c r="B96" s="3" t="s">
        <v>160</v>
      </c>
      <c r="C96" s="3" t="s">
        <v>221</v>
      </c>
      <c r="D96" s="4">
        <f>ROUND(48568000,2)</f>
        <v>48568000</v>
      </c>
      <c r="E96" s="4">
        <f>ROUND(0,2)</f>
        <v>0</v>
      </c>
      <c r="F96" s="4">
        <f>ROUND(48568000,2)</f>
        <v>48568000</v>
      </c>
      <c r="G96" s="4">
        <f>ROUND(0,2)</f>
        <v>0</v>
      </c>
      <c r="H96" s="4">
        <f>ROUND(2354000,2)</f>
        <v>2354000</v>
      </c>
      <c r="I96" s="4">
        <f>ROUND(0,2)</f>
        <v>0</v>
      </c>
      <c r="J96" s="4">
        <f>ROUND(2354000,2)</f>
        <v>2354000</v>
      </c>
      <c r="K96" s="4">
        <f>ROUND(0,2)</f>
        <v>0</v>
      </c>
    </row>
    <row r="97" spans="1:11" ht="12.75">
      <c r="A97" s="2" t="s">
        <v>108</v>
      </c>
      <c r="B97" s="3" t="s">
        <v>150</v>
      </c>
      <c r="C97" s="3" t="s">
        <v>176</v>
      </c>
      <c r="D97" s="4">
        <f>ROUND(0,2)</f>
        <v>0</v>
      </c>
      <c r="E97" s="4">
        <f>ROUND(11013000,2)</f>
        <v>11013000</v>
      </c>
      <c r="F97" s="4">
        <f>ROUND(0,2)</f>
        <v>0</v>
      </c>
      <c r="G97" s="4">
        <f>ROUND(11013000,2)</f>
        <v>11013000</v>
      </c>
      <c r="H97" s="4">
        <f>ROUND(0,2)</f>
        <v>0</v>
      </c>
      <c r="I97" s="4">
        <f>ROUND(862900,2)</f>
        <v>862900</v>
      </c>
      <c r="J97" s="4">
        <f>ROUND(0,2)</f>
        <v>0</v>
      </c>
      <c r="K97" s="4">
        <f>ROUND(862900,2)</f>
        <v>862900</v>
      </c>
    </row>
    <row r="98" spans="1:11" ht="18.75">
      <c r="A98" s="2" t="s">
        <v>344</v>
      </c>
      <c r="B98" s="3" t="s">
        <v>328</v>
      </c>
      <c r="C98" s="3" t="s">
        <v>361</v>
      </c>
      <c r="D98" s="4">
        <f>ROUND(0,2)</f>
        <v>0</v>
      </c>
      <c r="E98" s="4">
        <f>ROUND(11013000,2)</f>
        <v>11013000</v>
      </c>
      <c r="F98" s="4">
        <f>ROUND(0,2)</f>
        <v>0</v>
      </c>
      <c r="G98" s="4">
        <f>ROUND(11013000,2)</f>
        <v>11013000</v>
      </c>
      <c r="H98" s="4">
        <f>ROUND(0,2)</f>
        <v>0</v>
      </c>
      <c r="I98" s="4">
        <f>ROUND(862900,2)</f>
        <v>862900</v>
      </c>
      <c r="J98" s="4">
        <f>ROUND(0,2)</f>
        <v>0</v>
      </c>
      <c r="K98" s="4">
        <f>ROUND(862900,2)</f>
        <v>862900</v>
      </c>
    </row>
    <row r="99" spans="1:11" ht="27.75">
      <c r="A99" s="2" t="s">
        <v>155</v>
      </c>
      <c r="B99" s="3" t="s">
        <v>177</v>
      </c>
      <c r="C99" s="3" t="s">
        <v>225</v>
      </c>
      <c r="D99" s="4">
        <f>ROUND(212142800,2)</f>
        <v>212142800</v>
      </c>
      <c r="E99" s="4">
        <f aca="true" t="shared" si="19" ref="E99:E115">ROUND(0,2)</f>
        <v>0</v>
      </c>
      <c r="F99" s="4">
        <f>ROUND(210213900,2)</f>
        <v>210213900</v>
      </c>
      <c r="G99" s="4">
        <f>ROUND(1928900,2)</f>
        <v>1928900</v>
      </c>
      <c r="H99" s="4">
        <f>ROUND(16933556.6,2)</f>
        <v>16933556.6</v>
      </c>
      <c r="I99" s="4">
        <f aca="true" t="shared" si="20" ref="I99:I115">ROUND(0,2)</f>
        <v>0</v>
      </c>
      <c r="J99" s="4">
        <f>ROUND(16933556.6,2)</f>
        <v>16933556.6</v>
      </c>
      <c r="K99" s="4">
        <f aca="true" t="shared" si="21" ref="K99:K115">ROUND(0,2)</f>
        <v>0</v>
      </c>
    </row>
    <row r="100" spans="1:11" ht="45.75">
      <c r="A100" s="2" t="s">
        <v>276</v>
      </c>
      <c r="B100" s="3" t="s">
        <v>65</v>
      </c>
      <c r="C100" s="3" t="s">
        <v>60</v>
      </c>
      <c r="D100" s="4">
        <f>ROUND(1928900,2)</f>
        <v>1928900</v>
      </c>
      <c r="E100" s="4">
        <f t="shared" si="19"/>
        <v>0</v>
      </c>
      <c r="F100" s="4">
        <f>ROUND(0,2)</f>
        <v>0</v>
      </c>
      <c r="G100" s="4">
        <f>ROUND(1928900,2)</f>
        <v>1928900</v>
      </c>
      <c r="H100" s="4">
        <f>ROUND(0,2)</f>
        <v>0</v>
      </c>
      <c r="I100" s="4">
        <f t="shared" si="20"/>
        <v>0</v>
      </c>
      <c r="J100" s="4">
        <f>ROUND(0,2)</f>
        <v>0</v>
      </c>
      <c r="K100" s="4">
        <f t="shared" si="21"/>
        <v>0</v>
      </c>
    </row>
    <row r="101" spans="1:11" ht="45.75">
      <c r="A101" s="2" t="s">
        <v>69</v>
      </c>
      <c r="B101" s="3" t="s">
        <v>250</v>
      </c>
      <c r="C101" s="3" t="s">
        <v>159</v>
      </c>
      <c r="D101" s="4">
        <f>ROUND(1928900,2)</f>
        <v>1928900</v>
      </c>
      <c r="E101" s="4">
        <f t="shared" si="19"/>
        <v>0</v>
      </c>
      <c r="F101" s="4">
        <f>ROUND(0,2)</f>
        <v>0</v>
      </c>
      <c r="G101" s="4">
        <f>ROUND(1928900,2)</f>
        <v>1928900</v>
      </c>
      <c r="H101" s="4">
        <f>ROUND(0,2)</f>
        <v>0</v>
      </c>
      <c r="I101" s="4">
        <f t="shared" si="20"/>
        <v>0</v>
      </c>
      <c r="J101" s="4">
        <f>ROUND(0,2)</f>
        <v>0</v>
      </c>
      <c r="K101" s="4">
        <f t="shared" si="21"/>
        <v>0</v>
      </c>
    </row>
    <row r="102" spans="1:11" ht="54.75">
      <c r="A102" s="2" t="s">
        <v>44</v>
      </c>
      <c r="B102" s="3" t="s">
        <v>278</v>
      </c>
      <c r="C102" s="3" t="s">
        <v>350</v>
      </c>
      <c r="D102" s="4">
        <f>ROUND(251800,2)</f>
        <v>251800</v>
      </c>
      <c r="E102" s="4">
        <f t="shared" si="19"/>
        <v>0</v>
      </c>
      <c r="F102" s="4">
        <f>ROUND(251800,2)</f>
        <v>251800</v>
      </c>
      <c r="G102" s="4">
        <f aca="true" t="shared" si="22" ref="G102:G115">ROUND(0,2)</f>
        <v>0</v>
      </c>
      <c r="H102" s="4">
        <f>ROUND(0,2)</f>
        <v>0</v>
      </c>
      <c r="I102" s="4">
        <f t="shared" si="20"/>
        <v>0</v>
      </c>
      <c r="J102" s="4">
        <f>ROUND(0,2)</f>
        <v>0</v>
      </c>
      <c r="K102" s="4">
        <f t="shared" si="21"/>
        <v>0</v>
      </c>
    </row>
    <row r="103" spans="1:11" ht="63.75">
      <c r="A103" s="2" t="s">
        <v>5</v>
      </c>
      <c r="B103" s="3" t="s">
        <v>261</v>
      </c>
      <c r="C103" s="3" t="s">
        <v>241</v>
      </c>
      <c r="D103" s="4">
        <f>ROUND(251800,2)</f>
        <v>251800</v>
      </c>
      <c r="E103" s="4">
        <f t="shared" si="19"/>
        <v>0</v>
      </c>
      <c r="F103" s="4">
        <f>ROUND(251800,2)</f>
        <v>251800</v>
      </c>
      <c r="G103" s="4">
        <f t="shared" si="22"/>
        <v>0</v>
      </c>
      <c r="H103" s="4">
        <f>ROUND(0,2)</f>
        <v>0</v>
      </c>
      <c r="I103" s="4">
        <f t="shared" si="20"/>
        <v>0</v>
      </c>
      <c r="J103" s="4">
        <f>ROUND(0,2)</f>
        <v>0</v>
      </c>
      <c r="K103" s="4">
        <f t="shared" si="21"/>
        <v>0</v>
      </c>
    </row>
    <row r="104" spans="1:11" ht="36.75">
      <c r="A104" s="2" t="s">
        <v>162</v>
      </c>
      <c r="B104" s="3" t="s">
        <v>79</v>
      </c>
      <c r="C104" s="3" t="s">
        <v>84</v>
      </c>
      <c r="D104" s="4">
        <f>ROUND(6591000,2)</f>
        <v>6591000</v>
      </c>
      <c r="E104" s="4">
        <f t="shared" si="19"/>
        <v>0</v>
      </c>
      <c r="F104" s="4">
        <f>ROUND(6591000,2)</f>
        <v>6591000</v>
      </c>
      <c r="G104" s="4">
        <f t="shared" si="22"/>
        <v>0</v>
      </c>
      <c r="H104" s="4">
        <f>ROUND(4526834,2)</f>
        <v>4526834</v>
      </c>
      <c r="I104" s="4">
        <f t="shared" si="20"/>
        <v>0</v>
      </c>
      <c r="J104" s="4">
        <f>ROUND(4526834,2)</f>
        <v>4526834</v>
      </c>
      <c r="K104" s="4">
        <f t="shared" si="21"/>
        <v>0</v>
      </c>
    </row>
    <row r="105" spans="1:11" ht="45.75">
      <c r="A105" s="2" t="s">
        <v>266</v>
      </c>
      <c r="B105" s="3" t="s">
        <v>61</v>
      </c>
      <c r="C105" s="3" t="s">
        <v>258</v>
      </c>
      <c r="D105" s="4">
        <f>ROUND(6591000,2)</f>
        <v>6591000</v>
      </c>
      <c r="E105" s="4">
        <f t="shared" si="19"/>
        <v>0</v>
      </c>
      <c r="F105" s="4">
        <f>ROUND(6591000,2)</f>
        <v>6591000</v>
      </c>
      <c r="G105" s="4">
        <f t="shared" si="22"/>
        <v>0</v>
      </c>
      <c r="H105" s="4">
        <f>ROUND(4526834,2)</f>
        <v>4526834</v>
      </c>
      <c r="I105" s="4">
        <f t="shared" si="20"/>
        <v>0</v>
      </c>
      <c r="J105" s="4">
        <f>ROUND(4526834,2)</f>
        <v>4526834</v>
      </c>
      <c r="K105" s="4">
        <f t="shared" si="21"/>
        <v>0</v>
      </c>
    </row>
    <row r="106" spans="1:11" ht="81.75">
      <c r="A106" s="2" t="s">
        <v>190</v>
      </c>
      <c r="B106" s="3" t="s">
        <v>130</v>
      </c>
      <c r="C106" s="3" t="s">
        <v>380</v>
      </c>
      <c r="D106" s="4">
        <f>ROUND(2400000,2)</f>
        <v>2400000</v>
      </c>
      <c r="E106" s="4">
        <f t="shared" si="19"/>
        <v>0</v>
      </c>
      <c r="F106" s="4">
        <f>ROUND(2400000,2)</f>
        <v>2400000</v>
      </c>
      <c r="G106" s="4">
        <f t="shared" si="22"/>
        <v>0</v>
      </c>
      <c r="H106" s="4">
        <f>ROUND(0,2)</f>
        <v>0</v>
      </c>
      <c r="I106" s="4">
        <f t="shared" si="20"/>
        <v>0</v>
      </c>
      <c r="J106" s="4">
        <f>ROUND(0,2)</f>
        <v>0</v>
      </c>
      <c r="K106" s="4">
        <f t="shared" si="21"/>
        <v>0</v>
      </c>
    </row>
    <row r="107" spans="1:11" ht="81.75">
      <c r="A107" s="2" t="s">
        <v>154</v>
      </c>
      <c r="B107" s="3" t="s">
        <v>103</v>
      </c>
      <c r="C107" s="3" t="s">
        <v>114</v>
      </c>
      <c r="D107" s="4">
        <f>ROUND(2400000,2)</f>
        <v>2400000</v>
      </c>
      <c r="E107" s="4">
        <f t="shared" si="19"/>
        <v>0</v>
      </c>
      <c r="F107" s="4">
        <f>ROUND(2400000,2)</f>
        <v>2400000</v>
      </c>
      <c r="G107" s="4">
        <f t="shared" si="22"/>
        <v>0</v>
      </c>
      <c r="H107" s="4">
        <f>ROUND(0,2)</f>
        <v>0</v>
      </c>
      <c r="I107" s="4">
        <f t="shared" si="20"/>
        <v>0</v>
      </c>
      <c r="J107" s="4">
        <f>ROUND(0,2)</f>
        <v>0</v>
      </c>
      <c r="K107" s="4">
        <f t="shared" si="21"/>
        <v>0</v>
      </c>
    </row>
    <row r="108" spans="1:11" ht="63.75">
      <c r="A108" s="2" t="s">
        <v>107</v>
      </c>
      <c r="B108" s="3" t="s">
        <v>287</v>
      </c>
      <c r="C108" s="3" t="s">
        <v>121</v>
      </c>
      <c r="D108" s="4">
        <f>ROUND(2850000,2)</f>
        <v>2850000</v>
      </c>
      <c r="E108" s="4">
        <f t="shared" si="19"/>
        <v>0</v>
      </c>
      <c r="F108" s="4">
        <f>ROUND(2850000,2)</f>
        <v>2850000</v>
      </c>
      <c r="G108" s="4">
        <f t="shared" si="22"/>
        <v>0</v>
      </c>
      <c r="H108" s="4">
        <f>ROUND(818322.6,2)</f>
        <v>818322.6</v>
      </c>
      <c r="I108" s="4">
        <f t="shared" si="20"/>
        <v>0</v>
      </c>
      <c r="J108" s="4">
        <f>ROUND(818322.6,2)</f>
        <v>818322.6</v>
      </c>
      <c r="K108" s="4">
        <f t="shared" si="21"/>
        <v>0</v>
      </c>
    </row>
    <row r="109" spans="1:11" ht="63.75">
      <c r="A109" s="2" t="s">
        <v>285</v>
      </c>
      <c r="B109" s="3" t="s">
        <v>311</v>
      </c>
      <c r="C109" s="3" t="s">
        <v>123</v>
      </c>
      <c r="D109" s="4">
        <f>ROUND(2850000,2)</f>
        <v>2850000</v>
      </c>
      <c r="E109" s="4">
        <f t="shared" si="19"/>
        <v>0</v>
      </c>
      <c r="F109" s="4">
        <f>ROUND(2850000,2)</f>
        <v>2850000</v>
      </c>
      <c r="G109" s="4">
        <f t="shared" si="22"/>
        <v>0</v>
      </c>
      <c r="H109" s="4">
        <f>ROUND(818322.6,2)</f>
        <v>818322.6</v>
      </c>
      <c r="I109" s="4">
        <f t="shared" si="20"/>
        <v>0</v>
      </c>
      <c r="J109" s="4">
        <f>ROUND(818322.6,2)</f>
        <v>818322.6</v>
      </c>
      <c r="K109" s="4">
        <f t="shared" si="21"/>
        <v>0</v>
      </c>
    </row>
    <row r="110" spans="1:11" ht="90.75">
      <c r="A110" s="2" t="s">
        <v>283</v>
      </c>
      <c r="B110" s="3" t="s">
        <v>145</v>
      </c>
      <c r="C110" s="3" t="s">
        <v>239</v>
      </c>
      <c r="D110" s="4">
        <f>ROUND(1762000,2)</f>
        <v>1762000</v>
      </c>
      <c r="E110" s="4">
        <f t="shared" si="19"/>
        <v>0</v>
      </c>
      <c r="F110" s="4">
        <f>ROUND(1762000,2)</f>
        <v>1762000</v>
      </c>
      <c r="G110" s="4">
        <f t="shared" si="22"/>
        <v>0</v>
      </c>
      <c r="H110" s="4">
        <f>ROUND(0,2)</f>
        <v>0</v>
      </c>
      <c r="I110" s="4">
        <f t="shared" si="20"/>
        <v>0</v>
      </c>
      <c r="J110" s="4">
        <f>ROUND(0,2)</f>
        <v>0</v>
      </c>
      <c r="K110" s="4">
        <f t="shared" si="21"/>
        <v>0</v>
      </c>
    </row>
    <row r="111" spans="1:11" ht="81.75">
      <c r="A111" s="2" t="s">
        <v>244</v>
      </c>
      <c r="B111" s="3" t="s">
        <v>169</v>
      </c>
      <c r="C111" s="3" t="s">
        <v>113</v>
      </c>
      <c r="D111" s="4">
        <f>ROUND(1762000,2)</f>
        <v>1762000</v>
      </c>
      <c r="E111" s="4">
        <f t="shared" si="19"/>
        <v>0</v>
      </c>
      <c r="F111" s="4">
        <f>ROUND(1762000,2)</f>
        <v>1762000</v>
      </c>
      <c r="G111" s="4">
        <f t="shared" si="22"/>
        <v>0</v>
      </c>
      <c r="H111" s="4">
        <f>ROUND(0,2)</f>
        <v>0</v>
      </c>
      <c r="I111" s="4">
        <f t="shared" si="20"/>
        <v>0</v>
      </c>
      <c r="J111" s="4">
        <f>ROUND(0,2)</f>
        <v>0</v>
      </c>
      <c r="K111" s="4">
        <f t="shared" si="21"/>
        <v>0</v>
      </c>
    </row>
    <row r="112" spans="1:11" ht="72.75">
      <c r="A112" s="2" t="s">
        <v>22</v>
      </c>
      <c r="B112" s="3" t="s">
        <v>327</v>
      </c>
      <c r="C112" s="3" t="s">
        <v>91</v>
      </c>
      <c r="D112" s="4">
        <f>ROUND(2730000,2)</f>
        <v>2730000</v>
      </c>
      <c r="E112" s="4">
        <f t="shared" si="19"/>
        <v>0</v>
      </c>
      <c r="F112" s="4">
        <f>ROUND(2730000,2)</f>
        <v>2730000</v>
      </c>
      <c r="G112" s="4">
        <f t="shared" si="22"/>
        <v>0</v>
      </c>
      <c r="H112" s="4">
        <f>ROUND(0,2)</f>
        <v>0</v>
      </c>
      <c r="I112" s="4">
        <f t="shared" si="20"/>
        <v>0</v>
      </c>
      <c r="J112" s="4">
        <f>ROUND(0,2)</f>
        <v>0</v>
      </c>
      <c r="K112" s="4">
        <f t="shared" si="21"/>
        <v>0</v>
      </c>
    </row>
    <row r="113" spans="1:11" ht="72.75">
      <c r="A113" s="2" t="s">
        <v>98</v>
      </c>
      <c r="B113" s="3" t="s">
        <v>358</v>
      </c>
      <c r="C113" s="3" t="s">
        <v>192</v>
      </c>
      <c r="D113" s="4">
        <f>ROUND(2730000,2)</f>
        <v>2730000</v>
      </c>
      <c r="E113" s="4">
        <f t="shared" si="19"/>
        <v>0</v>
      </c>
      <c r="F113" s="4">
        <f>ROUND(2730000,2)</f>
        <v>2730000</v>
      </c>
      <c r="G113" s="4">
        <f t="shared" si="22"/>
        <v>0</v>
      </c>
      <c r="H113" s="4">
        <f>ROUND(0,2)</f>
        <v>0</v>
      </c>
      <c r="I113" s="4">
        <f t="shared" si="20"/>
        <v>0</v>
      </c>
      <c r="J113" s="4">
        <f>ROUND(0,2)</f>
        <v>0</v>
      </c>
      <c r="K113" s="4">
        <f t="shared" si="21"/>
        <v>0</v>
      </c>
    </row>
    <row r="114" spans="1:11" ht="12.75">
      <c r="A114" s="2" t="s">
        <v>303</v>
      </c>
      <c r="B114" s="3" t="s">
        <v>216</v>
      </c>
      <c r="C114" s="3" t="s">
        <v>73</v>
      </c>
      <c r="D114" s="4">
        <f>ROUND(193629100,2)</f>
        <v>193629100</v>
      </c>
      <c r="E114" s="4">
        <f t="shared" si="19"/>
        <v>0</v>
      </c>
      <c r="F114" s="4">
        <f>ROUND(193629100,2)</f>
        <v>193629100</v>
      </c>
      <c r="G114" s="4">
        <f t="shared" si="22"/>
        <v>0</v>
      </c>
      <c r="H114" s="4">
        <f>ROUND(11588400,2)</f>
        <v>11588400</v>
      </c>
      <c r="I114" s="4">
        <f t="shared" si="20"/>
        <v>0</v>
      </c>
      <c r="J114" s="4">
        <f>ROUND(11588400,2)</f>
        <v>11588400</v>
      </c>
      <c r="K114" s="4">
        <f t="shared" si="21"/>
        <v>0</v>
      </c>
    </row>
    <row r="115" spans="1:11" ht="18.75">
      <c r="A115" s="2" t="s">
        <v>208</v>
      </c>
      <c r="B115" s="3" t="s">
        <v>193</v>
      </c>
      <c r="C115" s="3" t="s">
        <v>349</v>
      </c>
      <c r="D115" s="4">
        <f>ROUND(193629100,2)</f>
        <v>193629100</v>
      </c>
      <c r="E115" s="4">
        <f t="shared" si="19"/>
        <v>0</v>
      </c>
      <c r="F115" s="4">
        <f>ROUND(193629100,2)</f>
        <v>193629100</v>
      </c>
      <c r="G115" s="4">
        <f t="shared" si="22"/>
        <v>0</v>
      </c>
      <c r="H115" s="4">
        <f>ROUND(11588400,2)</f>
        <v>11588400</v>
      </c>
      <c r="I115" s="4">
        <f t="shared" si="20"/>
        <v>0</v>
      </c>
      <c r="J115" s="4">
        <f>ROUND(11588400,2)</f>
        <v>11588400</v>
      </c>
      <c r="K115" s="4">
        <f t="shared" si="21"/>
        <v>0</v>
      </c>
    </row>
    <row r="116" spans="1:11" ht="18.75">
      <c r="A116" s="2" t="s">
        <v>274</v>
      </c>
      <c r="B116" s="3" t="s">
        <v>68</v>
      </c>
      <c r="C116" s="3" t="s">
        <v>8</v>
      </c>
      <c r="D116" s="4">
        <f>ROUND(146200,2)</f>
        <v>146200</v>
      </c>
      <c r="E116" s="4">
        <f>ROUND(40472400,2)</f>
        <v>40472400</v>
      </c>
      <c r="F116" s="4">
        <f>ROUND(146200,2)</f>
        <v>146200</v>
      </c>
      <c r="G116" s="4">
        <f>ROUND(40472400,2)</f>
        <v>40472400</v>
      </c>
      <c r="H116" s="4">
        <f aca="true" t="shared" si="23" ref="H116:H121">ROUND(0,2)</f>
        <v>0</v>
      </c>
      <c r="I116" s="4">
        <f>ROUND(1000000,2)</f>
        <v>1000000</v>
      </c>
      <c r="J116" s="4">
        <f aca="true" t="shared" si="24" ref="J116:J121">ROUND(0,2)</f>
        <v>0</v>
      </c>
      <c r="K116" s="4">
        <f>ROUND(1000000,2)</f>
        <v>1000000</v>
      </c>
    </row>
    <row r="117" spans="1:11" ht="63.75">
      <c r="A117" s="2" t="s">
        <v>381</v>
      </c>
      <c r="B117" s="3" t="s">
        <v>366</v>
      </c>
      <c r="C117" s="3" t="s">
        <v>156</v>
      </c>
      <c r="D117" s="4">
        <f>ROUND(0,2)</f>
        <v>0</v>
      </c>
      <c r="E117" s="4">
        <f>ROUND(40326200,2)</f>
        <v>40326200</v>
      </c>
      <c r="F117" s="4">
        <f>ROUND(0,2)</f>
        <v>0</v>
      </c>
      <c r="G117" s="4">
        <f>ROUND(40326200,2)</f>
        <v>40326200</v>
      </c>
      <c r="H117" s="4">
        <f t="shared" si="23"/>
        <v>0</v>
      </c>
      <c r="I117" s="4">
        <f>ROUND(1000000,2)</f>
        <v>1000000</v>
      </c>
      <c r="J117" s="4">
        <f t="shared" si="24"/>
        <v>0</v>
      </c>
      <c r="K117" s="4">
        <f>ROUND(1000000,2)</f>
        <v>1000000</v>
      </c>
    </row>
    <row r="118" spans="1:11" ht="72.75">
      <c r="A118" s="2" t="s">
        <v>374</v>
      </c>
      <c r="B118" s="3" t="s">
        <v>167</v>
      </c>
      <c r="C118" s="3" t="s">
        <v>275</v>
      </c>
      <c r="D118" s="4">
        <f>ROUND(0,2)</f>
        <v>0</v>
      </c>
      <c r="E118" s="4">
        <f>ROUND(40326200,2)</f>
        <v>40326200</v>
      </c>
      <c r="F118" s="4">
        <f>ROUND(0,2)</f>
        <v>0</v>
      </c>
      <c r="G118" s="4">
        <f>ROUND(40326200,2)</f>
        <v>40326200</v>
      </c>
      <c r="H118" s="4">
        <f t="shared" si="23"/>
        <v>0</v>
      </c>
      <c r="I118" s="4">
        <f>ROUND(1000000,2)</f>
        <v>1000000</v>
      </c>
      <c r="J118" s="4">
        <f t="shared" si="24"/>
        <v>0</v>
      </c>
      <c r="K118" s="4">
        <f>ROUND(1000000,2)</f>
        <v>1000000</v>
      </c>
    </row>
    <row r="119" spans="1:11" ht="63.75">
      <c r="A119" s="2" t="s">
        <v>282</v>
      </c>
      <c r="B119" s="3" t="s">
        <v>326</v>
      </c>
      <c r="C119" s="3" t="s">
        <v>170</v>
      </c>
      <c r="D119" s="4">
        <f>ROUND(146200,2)</f>
        <v>146200</v>
      </c>
      <c r="E119" s="4">
        <f>ROUND(146200,2)</f>
        <v>146200</v>
      </c>
      <c r="F119" s="4">
        <f>ROUND(146200,2)</f>
        <v>146200</v>
      </c>
      <c r="G119" s="4">
        <f>ROUND(146200,2)</f>
        <v>146200</v>
      </c>
      <c r="H119" s="4">
        <f t="shared" si="23"/>
        <v>0</v>
      </c>
      <c r="I119" s="4">
        <f aca="true" t="shared" si="25" ref="I119:I126">ROUND(0,2)</f>
        <v>0</v>
      </c>
      <c r="J119" s="4">
        <f t="shared" si="24"/>
        <v>0</v>
      </c>
      <c r="K119" s="4">
        <f aca="true" t="shared" si="26" ref="K119:K126">ROUND(0,2)</f>
        <v>0</v>
      </c>
    </row>
    <row r="120" spans="1:11" ht="54.75">
      <c r="A120" s="2" t="s">
        <v>343</v>
      </c>
      <c r="B120" s="3" t="s">
        <v>357</v>
      </c>
      <c r="C120" s="3" t="s">
        <v>178</v>
      </c>
      <c r="D120" s="4">
        <f>ROUND(146200,2)</f>
        <v>146200</v>
      </c>
      <c r="E120" s="4">
        <f>ROUND(0,2)</f>
        <v>0</v>
      </c>
      <c r="F120" s="4">
        <f>ROUND(146200,2)</f>
        <v>146200</v>
      </c>
      <c r="G120" s="4">
        <f>ROUND(0,2)</f>
        <v>0</v>
      </c>
      <c r="H120" s="4">
        <f t="shared" si="23"/>
        <v>0</v>
      </c>
      <c r="I120" s="4">
        <f t="shared" si="25"/>
        <v>0</v>
      </c>
      <c r="J120" s="4">
        <f t="shared" si="24"/>
        <v>0</v>
      </c>
      <c r="K120" s="4">
        <f t="shared" si="26"/>
        <v>0</v>
      </c>
    </row>
    <row r="121" spans="1:11" ht="45.75">
      <c r="A121" s="2" t="s">
        <v>182</v>
      </c>
      <c r="B121" s="3" t="s">
        <v>149</v>
      </c>
      <c r="C121" s="3" t="s">
        <v>165</v>
      </c>
      <c r="D121" s="4">
        <f>ROUND(0,2)</f>
        <v>0</v>
      </c>
      <c r="E121" s="4">
        <f>ROUND(146200,2)</f>
        <v>146200</v>
      </c>
      <c r="F121" s="4">
        <f>ROUND(0,2)</f>
        <v>0</v>
      </c>
      <c r="G121" s="4">
        <f>ROUND(146200,2)</f>
        <v>146200</v>
      </c>
      <c r="H121" s="4">
        <f t="shared" si="23"/>
        <v>0</v>
      </c>
      <c r="I121" s="4">
        <f t="shared" si="25"/>
        <v>0</v>
      </c>
      <c r="J121" s="4">
        <f t="shared" si="24"/>
        <v>0</v>
      </c>
      <c r="K121" s="4">
        <f t="shared" si="26"/>
        <v>0</v>
      </c>
    </row>
    <row r="122" spans="1:11" ht="18.75">
      <c r="A122" s="2" t="s">
        <v>332</v>
      </c>
      <c r="B122" s="3" t="s">
        <v>116</v>
      </c>
      <c r="C122" s="3" t="s">
        <v>319</v>
      </c>
      <c r="D122" s="4">
        <f>ROUND(2530000,2)</f>
        <v>2530000</v>
      </c>
      <c r="E122" s="4">
        <f>ROUND(0,2)</f>
        <v>0</v>
      </c>
      <c r="F122" s="4">
        <f>ROUND(2500000,2)</f>
        <v>2500000</v>
      </c>
      <c r="G122" s="4">
        <f>ROUND(30000,2)</f>
        <v>30000</v>
      </c>
      <c r="H122" s="4">
        <f>ROUND(5270,2)</f>
        <v>5270</v>
      </c>
      <c r="I122" s="4">
        <f t="shared" si="25"/>
        <v>0</v>
      </c>
      <c r="J122" s="4">
        <f>ROUND(5270,2)</f>
        <v>5270</v>
      </c>
      <c r="K122" s="4">
        <f t="shared" si="26"/>
        <v>0</v>
      </c>
    </row>
    <row r="123" spans="1:11" ht="27.75">
      <c r="A123" s="2" t="s">
        <v>224</v>
      </c>
      <c r="B123" s="3" t="s">
        <v>335</v>
      </c>
      <c r="C123" s="3" t="s">
        <v>12</v>
      </c>
      <c r="D123" s="4">
        <f>ROUND(2500000,2)</f>
        <v>2500000</v>
      </c>
      <c r="E123" s="4">
        <f>ROUND(0,2)</f>
        <v>0</v>
      </c>
      <c r="F123" s="4">
        <f>ROUND(2500000,2)</f>
        <v>2500000</v>
      </c>
      <c r="G123" s="4">
        <f>ROUND(0,2)</f>
        <v>0</v>
      </c>
      <c r="H123" s="4">
        <f>ROUND(5270,2)</f>
        <v>5270</v>
      </c>
      <c r="I123" s="4">
        <f t="shared" si="25"/>
        <v>0</v>
      </c>
      <c r="J123" s="4">
        <f>ROUND(5270,2)</f>
        <v>5270</v>
      </c>
      <c r="K123" s="4">
        <f t="shared" si="26"/>
        <v>0</v>
      </c>
    </row>
    <row r="124" spans="1:11" ht="27.75">
      <c r="A124" s="2" t="s">
        <v>21</v>
      </c>
      <c r="B124" s="3" t="s">
        <v>166</v>
      </c>
      <c r="C124" s="3" t="s">
        <v>248</v>
      </c>
      <c r="D124" s="4">
        <f>ROUND(30000,2)</f>
        <v>30000</v>
      </c>
      <c r="E124" s="4">
        <f>ROUND(0,2)</f>
        <v>0</v>
      </c>
      <c r="F124" s="4">
        <f>ROUND(0,2)</f>
        <v>0</v>
      </c>
      <c r="G124" s="4">
        <f>ROUND(30000,2)</f>
        <v>30000</v>
      </c>
      <c r="H124" s="4">
        <f>ROUND(0,2)</f>
        <v>0</v>
      </c>
      <c r="I124" s="4">
        <f t="shared" si="25"/>
        <v>0</v>
      </c>
      <c r="J124" s="4">
        <f>ROUND(0,2)</f>
        <v>0</v>
      </c>
      <c r="K124" s="4">
        <f t="shared" si="26"/>
        <v>0</v>
      </c>
    </row>
    <row r="125" spans="1:11" ht="54.75">
      <c r="A125" s="2" t="s">
        <v>66</v>
      </c>
      <c r="B125" s="3" t="s">
        <v>19</v>
      </c>
      <c r="C125" s="3" t="s">
        <v>348</v>
      </c>
      <c r="D125" s="4">
        <f>ROUND(0,2)</f>
        <v>0</v>
      </c>
      <c r="E125" s="4">
        <f>ROUND(0,2)</f>
        <v>0</v>
      </c>
      <c r="F125" s="4">
        <f>ROUND(0,2)</f>
        <v>0</v>
      </c>
      <c r="G125" s="4">
        <f>ROUND(0,2)</f>
        <v>0</v>
      </c>
      <c r="H125" s="4">
        <f>ROUND(-402001.39,2)</f>
        <v>-402001.39</v>
      </c>
      <c r="I125" s="4">
        <f t="shared" si="25"/>
        <v>0</v>
      </c>
      <c r="J125" s="4">
        <f>ROUND(-402001.39,2)</f>
        <v>-402001.39</v>
      </c>
      <c r="K125" s="4">
        <f t="shared" si="26"/>
        <v>0</v>
      </c>
    </row>
    <row r="126" spans="1:11" ht="54.75">
      <c r="A126" s="2" t="s">
        <v>302</v>
      </c>
      <c r="B126" s="3" t="s">
        <v>96</v>
      </c>
      <c r="C126" s="3" t="s">
        <v>118</v>
      </c>
      <c r="D126" s="4">
        <f>ROUND(0,2)</f>
        <v>0</v>
      </c>
      <c r="E126" s="4">
        <f>ROUND(0,2)</f>
        <v>0</v>
      </c>
      <c r="F126" s="4">
        <f>ROUND(0,2)</f>
        <v>0</v>
      </c>
      <c r="G126" s="4">
        <f>ROUND(0,2)</f>
        <v>0</v>
      </c>
      <c r="H126" s="4">
        <f>ROUND(-402001.39,2)</f>
        <v>-402001.39</v>
      </c>
      <c r="I126" s="4">
        <f t="shared" si="25"/>
        <v>0</v>
      </c>
      <c r="J126" s="4">
        <f>ROUND(-402001.39,2)</f>
        <v>-402001.39</v>
      </c>
      <c r="K126" s="4">
        <f t="shared" si="26"/>
        <v>0</v>
      </c>
    </row>
    <row r="127" spans="9:13" ht="12.75">
      <c r="I127" s="6"/>
      <c r="J127" s="6"/>
      <c r="K127" s="6"/>
      <c r="L127" s="5" t="s">
        <v>277</v>
      </c>
      <c r="M127" s="6"/>
    </row>
    <row r="128" spans="9:13" ht="12.75" customHeight="1">
      <c r="I128" s="6"/>
      <c r="J128" s="6"/>
      <c r="K128" s="6"/>
      <c r="L128" s="9"/>
      <c r="M128" s="6"/>
    </row>
    <row r="129" spans="1:13" ht="12.75">
      <c r="A129" s="11" t="s">
        <v>383</v>
      </c>
      <c r="B129" s="11"/>
      <c r="G129" t="s">
        <v>384</v>
      </c>
      <c r="I129" s="6"/>
      <c r="J129" s="6"/>
      <c r="K129" s="6"/>
      <c r="L129" s="5"/>
      <c r="M129" s="6"/>
    </row>
    <row r="130" spans="9:13" ht="12.75" customHeight="1">
      <c r="I130" s="6"/>
      <c r="J130" s="6"/>
      <c r="K130" s="6"/>
      <c r="L130" s="9"/>
      <c r="M130" s="6"/>
    </row>
    <row r="132" spans="1:7" ht="12.75">
      <c r="A132" s="11" t="s">
        <v>385</v>
      </c>
      <c r="B132" s="11"/>
      <c r="G132" t="s">
        <v>386</v>
      </c>
    </row>
  </sheetData>
  <mergeCells count="25">
    <mergeCell ref="A129:B129"/>
    <mergeCell ref="A132:B132"/>
    <mergeCell ref="L127:M127"/>
    <mergeCell ref="L128:M128"/>
    <mergeCell ref="L129:M129"/>
    <mergeCell ref="L130:M130"/>
    <mergeCell ref="I127:K127"/>
    <mergeCell ref="I128:K128"/>
    <mergeCell ref="I129:K129"/>
    <mergeCell ref="I130:K130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56" right="0.25" top="0.4166666666666667" bottom="0.4166666666666667" header="0.1388888888888889" footer="0.4166666666666667"/>
  <pageSetup horizontalDpi="600" verticalDpi="600" orientation="portrait" paperSize="9" scale="71" r:id="rId1"/>
  <headerFooter alignWithMargins="0">
    <oddHeader>&amp;RСтраница &amp;P из &amp;N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Comp1</cp:lastModifiedBy>
  <cp:lastPrinted>2012-02-10T11:01:09Z</cp:lastPrinted>
  <dcterms:created xsi:type="dcterms:W3CDTF">2012-02-10T11:02:14Z</dcterms:created>
  <dcterms:modified xsi:type="dcterms:W3CDTF">2012-02-10T11:02:14Z</dcterms:modified>
  <cp:category/>
  <cp:version/>
  <cp:contentType/>
  <cp:contentStatus/>
</cp:coreProperties>
</file>