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<sst xmlns="http://schemas.openxmlformats.org/spreadsheetml/2006/main" count="183" uniqueCount="178">
  <si>
    <t>Выплата единовременного пособия при всех формах устройства детей, лишенных родительского попечения, в семью</t>
  </si>
  <si>
    <t>ВСЕГО по Новохоперскому району</t>
  </si>
  <si>
    <t>12301 000 0000 0000000 000 290</t>
  </si>
  <si>
    <t>101,332</t>
  </si>
  <si>
    <t>103,3</t>
  </si>
  <si>
    <t>101,251</t>
  </si>
  <si>
    <t>10720 000 0000 0000000 000 000</t>
  </si>
  <si>
    <t>101,211</t>
  </si>
  <si>
    <t>03101 000 0503 0000000 000 000</t>
  </si>
  <si>
    <t>101,359</t>
  </si>
  <si>
    <t>13200 000 0800 0000000 000 000</t>
  </si>
  <si>
    <t>101,91</t>
  </si>
  <si>
    <t>00202 000 0000 0000000 000 213</t>
  </si>
  <si>
    <t>08201 000 1004 5201311 005 000</t>
  </si>
  <si>
    <t>12202 000 0000 0000000 000 226</t>
  </si>
  <si>
    <t>103,9</t>
  </si>
  <si>
    <t>101,336</t>
  </si>
  <si>
    <t>101,181</t>
  </si>
  <si>
    <t>Осуществление первичного воинского учета на территориях, где отсутствуют военные комиссариаты</t>
  </si>
  <si>
    <t>103,7</t>
  </si>
  <si>
    <t>101,253</t>
  </si>
  <si>
    <t>ОСТАТКИ СРЕДСТВ БЮДЖЕТОВ НА ОТЧЕТНУЮ ДАТУ:</t>
  </si>
  <si>
    <t>101,109</t>
  </si>
  <si>
    <t>101,72</t>
  </si>
  <si>
    <t>в других сферах</t>
  </si>
  <si>
    <t>103,1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</si>
  <si>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</si>
  <si>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Служащие</t>
  </si>
  <si>
    <t>1  1 Утверждено консолидированный бюджет субъекта РФ</t>
  </si>
  <si>
    <t>Расходы по содержанию органов местного самоуправления, всего</t>
  </si>
  <si>
    <t>101,330</t>
  </si>
  <si>
    <t>101,183</t>
  </si>
  <si>
    <t>9  9 Утверждено бюджеты муниципальных районов</t>
  </si>
  <si>
    <t>Поддержка коммунального хозяйства, всего</t>
  </si>
  <si>
    <t>103,5</t>
  </si>
  <si>
    <t>Прочие работы, услуги, всего:</t>
  </si>
  <si>
    <t>бюджетные инвестиции (без ФАИП)</t>
  </si>
  <si>
    <t>№ листа / № строки</t>
  </si>
  <si>
    <t>Расходы на заработную плату работникам учреждений, осуществляемые за счет средств бюджетов бюджетной системы Российской Федерации ,           в том числе:</t>
  </si>
  <si>
    <t>10800 000 0000 0000000 000 000</t>
  </si>
  <si>
    <t>Муниципальные служащие</t>
  </si>
  <si>
    <t>101,334</t>
  </si>
  <si>
    <t>08203 000 1004 5201320 005 000</t>
  </si>
  <si>
    <t>услуги по страхованию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</si>
  <si>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</si>
  <si>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12205 000 0000 0000000 000 226</t>
  </si>
  <si>
    <t>Социальное обеспечение</t>
  </si>
  <si>
    <t>Выплата региональной доплаты к пенсии</t>
  </si>
  <si>
    <t>07900 000 1004 5050502 000 000</t>
  </si>
  <si>
    <t>000 0000 0000000 000 211 01</t>
  </si>
  <si>
    <t>101,347</t>
  </si>
  <si>
    <t>03900 000 0702 5200900 000 210</t>
  </si>
  <si>
    <t>101,115</t>
  </si>
  <si>
    <t>101,343</t>
  </si>
  <si>
    <t>на начисления на выплаты по оплате труда  - по 01 разделу</t>
  </si>
  <si>
    <t>остатки целевых средств бюджетов</t>
  </si>
  <si>
    <t>10101 000 0000 0000000 000 000</t>
  </si>
  <si>
    <t>08202 000 1004 5201312 000 000</t>
  </si>
  <si>
    <t>101,326</t>
  </si>
  <si>
    <t>101,328</t>
  </si>
  <si>
    <t>на заработную плату  - по 01 разделу в том числе:</t>
  </si>
  <si>
    <t>уплату штрафов, пеней за несвоевременную уплату налогов и сборов, другие экономические санкции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</si>
  <si>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</si>
  <si>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на начисления на выплаты по оплате труда</t>
  </si>
  <si>
    <t>на заработную плату</t>
  </si>
  <si>
    <t>10722 000 0000 0000000 000 000</t>
  </si>
  <si>
    <t>Расходы по содержанию органов местного самоуправления, всего - по 01 разделу</t>
  </si>
  <si>
    <t>21  21 Исполнено бюджеты муниципальных районов</t>
  </si>
  <si>
    <t>101,268</t>
  </si>
  <si>
    <t>Содержание ребенка в семье опекуна и приемной семье, а также вознаграждение, причитающееся приемному родителю</t>
  </si>
  <si>
    <t>101,7</t>
  </si>
  <si>
    <t>101,136</t>
  </si>
  <si>
    <t>101,9</t>
  </si>
  <si>
    <t>12200 000 0000 0000000 000 226</t>
  </si>
  <si>
    <t>101,324</t>
  </si>
  <si>
    <t>101,249</t>
  </si>
  <si>
    <t>12101 000 0000 0000000 000 225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</si>
  <si>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</si>
  <si>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00800 000 0203 0013600 000 000</t>
  </si>
  <si>
    <t>Расходы на содержание имущества, всего:</t>
  </si>
  <si>
    <t>Ед. измерения: документа -  руб.</t>
  </si>
  <si>
    <t>12102 000 0000 0000000 000 225</t>
  </si>
  <si>
    <t>14  14 Исполнено консолидированный бюджет субъекта РФ (средства федерального бюджета)</t>
  </si>
  <si>
    <t>101,254</t>
  </si>
  <si>
    <t>Мероприятия в сфере культуры и кинематографии</t>
  </si>
  <si>
    <t>101,180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</si>
  <si>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</si>
  <si>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Благоустройство, всего</t>
  </si>
  <si>
    <t>103,6</t>
  </si>
  <si>
    <t>08200 000 1004 5201300 000 000</t>
  </si>
  <si>
    <t>02800 000 0501 0000000 000 000</t>
  </si>
  <si>
    <t>103,8</t>
  </si>
  <si>
    <t>101,337</t>
  </si>
  <si>
    <t>04400 000 0800 4400000 000 000</t>
  </si>
  <si>
    <t>12203 000 0000 0000000 000 226</t>
  </si>
  <si>
    <t>10700 000 0000 0000000 000 000</t>
  </si>
  <si>
    <t>услуги вневедомственной (в том числе пожарной) охраны</t>
  </si>
  <si>
    <t>выплаты семьям опекунов на содержание подопечных детей</t>
  </si>
  <si>
    <t>МУНИЦИПАЛЬНЫЙ ДОЛГ, всего</t>
  </si>
  <si>
    <t>103,2</t>
  </si>
  <si>
    <t>08100 000 1004 0000000 005 000</t>
  </si>
  <si>
    <t>12300 000 0000 0000000 000 290</t>
  </si>
  <si>
    <t>11  11 Утверждено бюджеты городских и сельских поселений</t>
  </si>
  <si>
    <t>Наименование показателя</t>
  </si>
  <si>
    <t>000 0000 0000000 000 000 01</t>
  </si>
  <si>
    <t>04401 000 0801 4400200 000 000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</si>
  <si>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</si>
  <si>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03100 000 0503 0000000 000 000</t>
  </si>
  <si>
    <t>101,210</t>
  </si>
  <si>
    <t>101,335</t>
  </si>
  <si>
    <t>22  22 Исполнено бюджеты муниципальных районов (средства федерального бюджета)</t>
  </si>
  <si>
    <t>10801 000 0000 0000000 000 000</t>
  </si>
  <si>
    <t>101,182</t>
  </si>
  <si>
    <t>103,4</t>
  </si>
  <si>
    <t>12204 000 0000 0000000 000 226</t>
  </si>
  <si>
    <t>101,92</t>
  </si>
  <si>
    <t>МЕСЯЧНЫЙ ОТЧЕТ ОБ ИСПОЛНЕНИИ БЮДЖЕТА</t>
  </si>
  <si>
    <t>2  2 Утверждено консолидированный бюджет субъекта РФ (средства федерального бюджета)</t>
  </si>
  <si>
    <t>объем основного долга по бюджетным кредитам, привлеченным в местный бюджет, всего</t>
  </si>
  <si>
    <t>13000 000 0000 0000000 000 000</t>
  </si>
  <si>
    <t>Прочие расходы, всего:</t>
  </si>
  <si>
    <t>06200 000 1003 0000000 000 000</t>
  </si>
  <si>
    <t>06100 000 0000 0000000 000 260</t>
  </si>
  <si>
    <t>101,331</t>
  </si>
  <si>
    <t xml:space="preserve"> </t>
  </si>
  <si>
    <t>бюджетные кредиты, полученные из бюджета субъекта Российской Федерации</t>
  </si>
  <si>
    <t>12  12 Утверждено бюджеты городских и сельских поселений (средства федерального бюджета)</t>
  </si>
  <si>
    <t>10100 000 0000 0000000 000 000</t>
  </si>
  <si>
    <t>00201 000 0000 0000000 000 211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</si>
  <si>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</si>
  <si>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000 0000 0000000 000 213 01</t>
  </si>
  <si>
    <t>03000 000 0502 0000000 000 000</t>
  </si>
  <si>
    <t>Ежемесячное денежное вознаграждение за классное руководство</t>
  </si>
  <si>
    <t>12206 000 0000 0000000 000 226</t>
  </si>
  <si>
    <t>Поддержка жилищного хозяйства, всего</t>
  </si>
  <si>
    <t>12208 000 0000 0000000 000 226</t>
  </si>
  <si>
    <t>101,329</t>
  </si>
  <si>
    <t>в сфере образования</t>
  </si>
  <si>
    <t>101,327</t>
  </si>
  <si>
    <t>101,135</t>
  </si>
  <si>
    <t>13  13 Исполнено консолидированный бюджет субъекта РФ</t>
  </si>
  <si>
    <t>бюджетные кредиты, полученные из местного бюджета</t>
  </si>
  <si>
    <t>101,323</t>
  </si>
  <si>
    <t>вознаграждение приемного родителя</t>
  </si>
  <si>
    <t>23  23 Исполнено бюджеты городских и сельских поселений</t>
  </si>
  <si>
    <t>101,21</t>
  </si>
  <si>
    <t>выплаты приемной семье на содержание подопечных детей</t>
  </si>
  <si>
    <t>Ед. измерения: отчета -  руб.</t>
  </si>
  <si>
    <t>12201 000 0000 0000000 000 226</t>
  </si>
  <si>
    <t>101,325</t>
  </si>
  <si>
    <t>101,179</t>
  </si>
  <si>
    <t>101,8</t>
  </si>
  <si>
    <t>24  24 Исполнено бюджеты городских и сельских поселений (средства федерального бюджета)</t>
  </si>
  <si>
    <t>10  10 Утверждено бюджеты муниципальных районов (средства федерального бюджета)</t>
  </si>
  <si>
    <t>Код показателя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</si>
  <si>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</si>
  <si>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Региональные и муниципальные  программы (без ФАИП)</t>
  </si>
  <si>
    <t>содержание в чистоте помещений, зданий, дворов, иного имущества</t>
  </si>
  <si>
    <t>101,177</t>
  </si>
  <si>
    <t>13100 000 0700 0000000 000 000</t>
  </si>
  <si>
    <t>12100 000 0000 0000000 000 225</t>
  </si>
  <si>
    <t>Муниципальные должности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</si>
  <si>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</si>
  <si>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00200 000 0000 0000000 000 000</t>
  </si>
  <si>
    <t>101,86</t>
  </si>
  <si>
    <t>101,344</t>
  </si>
  <si>
    <t>10723 000 0000 0000000 000 000</t>
  </si>
  <si>
    <t>101,116</t>
  </si>
  <si>
    <t>услуги в области информационных технологий</t>
  </si>
  <si>
    <t>101,269</t>
  </si>
  <si>
    <t>12302 000 0000 0000000 000 290</t>
  </si>
  <si>
    <t>в сфере культуры и кинематографии</t>
  </si>
  <si>
    <t>13600 000 0000 0000000 000 000</t>
  </si>
  <si>
    <t>Справка к месячному отчету на 01.04.2012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</si>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</sst>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imes New Roman CYR"/>
      <family val="2"/>
    </font>
    <font>
      <sz val="9"/>
      <color indexed="8"/>
      <name val="Tahoma"/>
      <family val="2"/>
    </font>
    <font>
      <sz val="12"/>
      <color indexed="8"/>
      <name val="Times New Roman CYR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7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Alignment="1">
      <alignment horizontal="left" vertical="top" wrapText="1"/>
    </xf>
    <xf numFmtId="0" fontId="4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67" fontId="5" fillId="0" borderId="0" xfId="0" applyFont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="60" workbookViewId="0" topLeftCell="A43">
      <selection activeCell="N60" sqref="N60:O62"/>
    </sheetView>
  </sheetViews>
  <sheetFormatPr defaultColWidth="9.140625" defaultRowHeight="12.75"/>
  <cols>
    <col min="1" max="1" width="7.7109375" style="0" customWidth="1"/>
    <col min="2" max="2" width="21.7109375" style="0" customWidth="1"/>
    <col min="3" max="3" width="16.57421875" style="0" customWidth="1"/>
    <col min="4" max="4" width="13.421875" style="0" customWidth="1"/>
    <col min="5" max="5" width="13.28125" style="0" customWidth="1"/>
    <col min="6" max="6" width="14.8515625" style="0" customWidth="1"/>
    <col min="7" max="7" width="12.00390625" style="0" customWidth="1"/>
    <col min="8" max="8" width="12.28125" style="0" customWidth="1"/>
    <col min="9" max="9" width="13.7109375" style="0" customWidth="1"/>
    <col min="10" max="10" width="13.57421875" style="0" customWidth="1"/>
    <col min="11" max="11" width="12.57421875" style="0" customWidth="1"/>
    <col min="12" max="12" width="13.00390625" style="0" customWidth="1"/>
    <col min="13" max="13" width="11.28125" style="0" customWidth="1"/>
    <col min="14" max="14" width="12.28125" style="0" customWidth="1"/>
    <col min="15" max="15" width="13.00390625" style="0" customWidth="1"/>
  </cols>
  <sheetData>
    <row r="1" spans="1:15" ht="37.5" customHeight="1">
      <c r="A1" s="2"/>
      <c r="B1" s="3"/>
      <c r="C1" s="3"/>
      <c r="D1" s="3"/>
      <c r="E1" s="4" t="s">
        <v>116</v>
      </c>
      <c r="F1" s="3"/>
      <c r="G1" s="3"/>
      <c r="H1" s="3"/>
      <c r="I1" s="5" t="s">
        <v>147</v>
      </c>
      <c r="J1" s="3"/>
      <c r="K1" s="3"/>
      <c r="L1" s="3"/>
      <c r="N1" s="4"/>
      <c r="O1" s="3"/>
    </row>
    <row r="2" spans="1:15" ht="37.5" customHeight="1">
      <c r="A2" s="2"/>
      <c r="B2" s="3"/>
      <c r="C2" s="3"/>
      <c r="D2" s="3"/>
      <c r="E2" s="8" t="s">
        <v>173</v>
      </c>
      <c r="F2" s="3"/>
      <c r="G2" s="3"/>
      <c r="H2" s="3"/>
      <c r="I2" s="5" t="s">
        <v>80</v>
      </c>
      <c r="J2" s="3"/>
      <c r="K2" s="3"/>
      <c r="L2" s="3"/>
      <c r="N2" s="4"/>
      <c r="O2" s="3"/>
    </row>
    <row r="3" spans="1:15" ht="12.75">
      <c r="A3" s="2" t="s">
        <v>124</v>
      </c>
      <c r="B3" s="3"/>
      <c r="C3" s="3"/>
      <c r="D3" s="3"/>
      <c r="E3" s="4" t="s">
        <v>1</v>
      </c>
      <c r="F3" s="3"/>
      <c r="G3" s="3"/>
      <c r="H3" s="3"/>
      <c r="I3" s="2" t="s">
        <v>124</v>
      </c>
      <c r="J3" s="3"/>
      <c r="K3" s="3"/>
      <c r="L3" s="3"/>
      <c r="N3" s="4"/>
      <c r="O3" s="3"/>
    </row>
    <row r="4" spans="1:15" ht="99">
      <c r="A4" s="1" t="s">
        <v>37</v>
      </c>
      <c r="B4" s="1" t="s">
        <v>154</v>
      </c>
      <c r="C4" s="1" t="s">
        <v>103</v>
      </c>
      <c r="D4" s="1" t="s">
        <v>28</v>
      </c>
      <c r="E4" s="1" t="s">
        <v>117</v>
      </c>
      <c r="F4" s="1" t="s">
        <v>32</v>
      </c>
      <c r="G4" s="1" t="s">
        <v>153</v>
      </c>
      <c r="H4" s="1" t="s">
        <v>102</v>
      </c>
      <c r="I4" s="1" t="s">
        <v>126</v>
      </c>
      <c r="J4" s="1" t="s">
        <v>140</v>
      </c>
      <c r="K4" s="1" t="s">
        <v>82</v>
      </c>
      <c r="L4" s="1" t="s">
        <v>67</v>
      </c>
      <c r="M4" s="1" t="s">
        <v>110</v>
      </c>
      <c r="N4" s="1" t="s">
        <v>144</v>
      </c>
      <c r="O4" s="1" t="s">
        <v>152</v>
      </c>
    </row>
    <row r="5" spans="1:15" ht="57">
      <c r="A5" s="9" t="s">
        <v>70</v>
      </c>
      <c r="B5" s="10" t="s">
        <v>163</v>
      </c>
      <c r="C5" s="10" t="s">
        <v>29</v>
      </c>
      <c r="D5" s="11">
        <f>ROUND(71916798.17,2)</f>
        <v>71916798.17</v>
      </c>
      <c r="E5" s="11">
        <f>ROUND(0,2)</f>
        <v>0</v>
      </c>
      <c r="F5" s="11">
        <f>ROUND(29628877.17,2)</f>
        <v>29628877.17</v>
      </c>
      <c r="G5" s="11">
        <f aca="true" t="shared" si="0" ref="G5:G12">ROUND(0,2)</f>
        <v>0</v>
      </c>
      <c r="H5" s="11">
        <f>ROUND(42287921,2)</f>
        <v>42287921</v>
      </c>
      <c r="I5" s="11">
        <f>ROUND(0,2)</f>
        <v>0</v>
      </c>
      <c r="J5" s="11">
        <f>ROUND(19303297.53,2)</f>
        <v>19303297.53</v>
      </c>
      <c r="K5" s="11">
        <f>ROUND(0,2)</f>
        <v>0</v>
      </c>
      <c r="L5" s="11">
        <f>ROUND(6882137.72,2)</f>
        <v>6882137.72</v>
      </c>
      <c r="M5" s="11">
        <f aca="true" t="shared" si="1" ref="M5:M12">ROUND(0,2)</f>
        <v>0</v>
      </c>
      <c r="N5" s="11">
        <f>ROUND(12421159.81,2)</f>
        <v>12421159.81</v>
      </c>
      <c r="O5" s="11">
        <f>ROUND(0,2)</f>
        <v>0</v>
      </c>
    </row>
    <row r="6" spans="1:15" ht="23.25">
      <c r="A6" s="9" t="s">
        <v>151</v>
      </c>
      <c r="B6" s="10" t="s">
        <v>128</v>
      </c>
      <c r="C6" s="10" t="s">
        <v>64</v>
      </c>
      <c r="D6" s="11">
        <f>ROUND(42870837.47,2)</f>
        <v>42870837.47</v>
      </c>
      <c r="E6" s="11">
        <f>ROUND(0,2)</f>
        <v>0</v>
      </c>
      <c r="F6" s="11">
        <f>ROUND(19541891.47,2)</f>
        <v>19541891.47</v>
      </c>
      <c r="G6" s="11">
        <f t="shared" si="0"/>
        <v>0</v>
      </c>
      <c r="H6" s="11">
        <f>ROUND(23328946,2)</f>
        <v>23328946</v>
      </c>
      <c r="I6" s="11">
        <f>ROUND(0,2)</f>
        <v>0</v>
      </c>
      <c r="J6" s="11">
        <f>ROUND(10196024.86,2)</f>
        <v>10196024.86</v>
      </c>
      <c r="K6" s="11">
        <f>ROUND(0,2)</f>
        <v>0</v>
      </c>
      <c r="L6" s="11">
        <f>ROUND(3790712.86,2)</f>
        <v>3790712.86</v>
      </c>
      <c r="M6" s="11">
        <f t="shared" si="1"/>
        <v>0</v>
      </c>
      <c r="N6" s="11">
        <f>ROUND(6405312,2)</f>
        <v>6405312</v>
      </c>
      <c r="O6" s="11">
        <f>ROUND(0,2)</f>
        <v>0</v>
      </c>
    </row>
    <row r="7" spans="1:15" ht="34.5">
      <c r="A7" s="9" t="s">
        <v>72</v>
      </c>
      <c r="B7" s="10" t="s">
        <v>12</v>
      </c>
      <c r="C7" s="10" t="s">
        <v>63</v>
      </c>
      <c r="D7" s="11">
        <f>ROUND(14277662.63,2)</f>
        <v>14277662.63</v>
      </c>
      <c r="E7" s="11">
        <f>ROUND(0,2)</f>
        <v>0</v>
      </c>
      <c r="F7" s="11">
        <f>ROUND(7044023.63,2)</f>
        <v>7044023.63</v>
      </c>
      <c r="G7" s="11">
        <f t="shared" si="0"/>
        <v>0</v>
      </c>
      <c r="H7" s="11">
        <f>ROUND(7233639,2)</f>
        <v>7233639</v>
      </c>
      <c r="I7" s="11">
        <f>ROUND(0,2)</f>
        <v>0</v>
      </c>
      <c r="J7" s="11">
        <f>ROUND(2664372.35,2)</f>
        <v>2664372.35</v>
      </c>
      <c r="K7" s="11">
        <f>ROUND(0,2)</f>
        <v>0</v>
      </c>
      <c r="L7" s="11">
        <f>ROUND(982426.91,2)</f>
        <v>982426.91</v>
      </c>
      <c r="M7" s="11">
        <f t="shared" si="1"/>
        <v>0</v>
      </c>
      <c r="N7" s="11">
        <f>ROUND(1681945.44,2)</f>
        <v>1681945.44</v>
      </c>
      <c r="O7" s="11">
        <f>ROUND(0,2)</f>
        <v>0</v>
      </c>
    </row>
    <row r="8" spans="1:15" ht="79.5">
      <c r="A8" s="9" t="s">
        <v>145</v>
      </c>
      <c r="B8" s="10" t="s">
        <v>78</v>
      </c>
      <c r="C8" s="10" t="s">
        <v>18</v>
      </c>
      <c r="D8" s="11">
        <f>ROUND(1928900,2)</f>
        <v>1928900</v>
      </c>
      <c r="E8" s="11">
        <f>ROUND(1928900,2)</f>
        <v>1928900</v>
      </c>
      <c r="F8" s="11">
        <f>ROUND(0,2)</f>
        <v>0</v>
      </c>
      <c r="G8" s="11">
        <f t="shared" si="0"/>
        <v>0</v>
      </c>
      <c r="H8" s="11">
        <f>ROUND(1928900,2)</f>
        <v>1928900</v>
      </c>
      <c r="I8" s="11">
        <f>ROUND(1928900,2)</f>
        <v>1928900</v>
      </c>
      <c r="J8" s="11">
        <f>ROUND(320957.99,2)</f>
        <v>320957.99</v>
      </c>
      <c r="K8" s="11">
        <f>ROUND(320957.99,2)</f>
        <v>320957.99</v>
      </c>
      <c r="L8" s="11">
        <f>ROUND(0,2)</f>
        <v>0</v>
      </c>
      <c r="M8" s="11">
        <f t="shared" si="1"/>
        <v>0</v>
      </c>
      <c r="N8" s="11">
        <f>ROUND(320957.99,2)</f>
        <v>320957.99</v>
      </c>
      <c r="O8" s="11">
        <f>ROUND(320957.99,2)</f>
        <v>320957.99</v>
      </c>
    </row>
    <row r="9" spans="1:15" ht="34.5">
      <c r="A9" s="9" t="s">
        <v>23</v>
      </c>
      <c r="B9" s="10" t="s">
        <v>90</v>
      </c>
      <c r="C9" s="10" t="s">
        <v>134</v>
      </c>
      <c r="D9" s="11">
        <f>ROUND(85500,2)</f>
        <v>85500</v>
      </c>
      <c r="E9" s="11">
        <f>ROUND(0,2)</f>
        <v>0</v>
      </c>
      <c r="F9" s="11">
        <f>ROUND(0,2)</f>
        <v>0</v>
      </c>
      <c r="G9" s="11">
        <f t="shared" si="0"/>
        <v>0</v>
      </c>
      <c r="H9" s="11">
        <f>ROUND(85500,2)</f>
        <v>85500</v>
      </c>
      <c r="I9" s="11">
        <f>ROUND(0,2)</f>
        <v>0</v>
      </c>
      <c r="J9" s="11">
        <f>ROUND(0,2)</f>
        <v>0</v>
      </c>
      <c r="K9" s="11">
        <f>ROUND(0,2)</f>
        <v>0</v>
      </c>
      <c r="L9" s="11">
        <f>ROUND(0,2)</f>
        <v>0</v>
      </c>
      <c r="M9" s="11">
        <f t="shared" si="1"/>
        <v>0</v>
      </c>
      <c r="N9" s="11">
        <f>ROUND(0,2)</f>
        <v>0</v>
      </c>
      <c r="O9" s="11">
        <f>ROUND(0,2)</f>
        <v>0</v>
      </c>
    </row>
    <row r="10" spans="1:15" ht="34.5">
      <c r="A10" s="9" t="s">
        <v>164</v>
      </c>
      <c r="B10" s="10" t="s">
        <v>131</v>
      </c>
      <c r="C10" s="10" t="s">
        <v>33</v>
      </c>
      <c r="D10" s="11">
        <f>ROUND(3381600,2)</f>
        <v>3381600</v>
      </c>
      <c r="E10" s="11">
        <f>ROUND(0,2)</f>
        <v>0</v>
      </c>
      <c r="F10" s="11">
        <f>ROUND(0,2)</f>
        <v>0</v>
      </c>
      <c r="G10" s="11">
        <f t="shared" si="0"/>
        <v>0</v>
      </c>
      <c r="H10" s="11">
        <f>ROUND(3381600,2)</f>
        <v>3381600</v>
      </c>
      <c r="I10" s="11">
        <f>ROUND(0,2)</f>
        <v>0</v>
      </c>
      <c r="J10" s="11">
        <f>ROUND(108250,2)</f>
        <v>108250</v>
      </c>
      <c r="K10" s="11">
        <f>ROUND(0,2)</f>
        <v>0</v>
      </c>
      <c r="L10" s="11">
        <f>ROUND(0,2)</f>
        <v>0</v>
      </c>
      <c r="M10" s="11">
        <f t="shared" si="1"/>
        <v>0</v>
      </c>
      <c r="N10" s="11">
        <f>ROUND(108250,2)</f>
        <v>108250</v>
      </c>
      <c r="O10" s="11">
        <f aca="true" t="shared" si="2" ref="O10:O29">ROUND(0,2)</f>
        <v>0</v>
      </c>
    </row>
    <row r="11" spans="1:15" ht="23.25">
      <c r="A11" s="9" t="s">
        <v>11</v>
      </c>
      <c r="B11" s="10" t="s">
        <v>107</v>
      </c>
      <c r="C11" s="10" t="s">
        <v>87</v>
      </c>
      <c r="D11" s="11">
        <f>ROUND(18478316,2)</f>
        <v>18478316</v>
      </c>
      <c r="E11" s="11">
        <f>ROUND(0,2)</f>
        <v>0</v>
      </c>
      <c r="F11" s="11">
        <f>ROUND(0,2)</f>
        <v>0</v>
      </c>
      <c r="G11" s="11">
        <f t="shared" si="0"/>
        <v>0</v>
      </c>
      <c r="H11" s="11">
        <f>ROUND(18478316,2)</f>
        <v>18478316</v>
      </c>
      <c r="I11" s="11">
        <f>ROUND(0,2)</f>
        <v>0</v>
      </c>
      <c r="J11" s="11">
        <f>ROUND(3002021.76,2)</f>
        <v>3002021.76</v>
      </c>
      <c r="K11" s="11">
        <f>ROUND(0,2)</f>
        <v>0</v>
      </c>
      <c r="L11" s="11">
        <f>ROUND(0,2)</f>
        <v>0</v>
      </c>
      <c r="M11" s="11">
        <f t="shared" si="1"/>
        <v>0</v>
      </c>
      <c r="N11" s="11">
        <f>ROUND(3002021.76,2)</f>
        <v>3002021.76</v>
      </c>
      <c r="O11" s="11">
        <f t="shared" si="2"/>
        <v>0</v>
      </c>
    </row>
    <row r="12" spans="1:15" ht="135.75">
      <c r="A12" s="9" t="s">
        <v>115</v>
      </c>
      <c r="B12" s="10" t="s">
        <v>8</v>
      </c>
      <c r="C12" s="10" t="s">
        <v>106</v>
      </c>
      <c r="D12" s="11">
        <f>ROUND(4283600,2)</f>
        <v>4283600</v>
      </c>
      <c r="E12" s="11">
        <f>ROUND(0,2)</f>
        <v>0</v>
      </c>
      <c r="F12" s="11">
        <f>ROUND(0,2)</f>
        <v>0</v>
      </c>
      <c r="G12" s="11">
        <f t="shared" si="0"/>
        <v>0</v>
      </c>
      <c r="H12" s="11">
        <f>ROUND(4283600,2)</f>
        <v>4283600</v>
      </c>
      <c r="I12" s="11">
        <f>ROUND(0,2)</f>
        <v>0</v>
      </c>
      <c r="J12" s="11">
        <f>ROUND(591344.98,2)</f>
        <v>591344.98</v>
      </c>
      <c r="K12" s="11">
        <f>ROUND(0,2)</f>
        <v>0</v>
      </c>
      <c r="L12" s="11">
        <f>ROUND(0,2)</f>
        <v>0</v>
      </c>
      <c r="M12" s="11">
        <f t="shared" si="1"/>
        <v>0</v>
      </c>
      <c r="N12" s="11">
        <f>ROUND(591344.98,2)</f>
        <v>591344.98</v>
      </c>
      <c r="O12" s="11">
        <f t="shared" si="2"/>
        <v>0</v>
      </c>
    </row>
    <row r="13" spans="1:15" ht="57">
      <c r="A13" s="9" t="s">
        <v>22</v>
      </c>
      <c r="B13" s="10" t="s">
        <v>51</v>
      </c>
      <c r="C13" s="10" t="s">
        <v>132</v>
      </c>
      <c r="D13" s="11">
        <f>ROUND(2575000,2)</f>
        <v>2575000</v>
      </c>
      <c r="E13" s="11">
        <f>ROUND(2575000,2)</f>
        <v>2575000</v>
      </c>
      <c r="F13" s="11">
        <f>ROUND(2575000,2)</f>
        <v>2575000</v>
      </c>
      <c r="G13" s="11">
        <f>ROUND(2575000,2)</f>
        <v>2575000</v>
      </c>
      <c r="H13" s="11">
        <f>ROUND(0,2)</f>
        <v>0</v>
      </c>
      <c r="I13" s="11">
        <f>ROUND(0,2)</f>
        <v>0</v>
      </c>
      <c r="J13" s="11">
        <f>ROUND(424302.15,2)</f>
        <v>424302.15</v>
      </c>
      <c r="K13" s="11">
        <f>ROUND(424302.15,2)</f>
        <v>424302.15</v>
      </c>
      <c r="L13" s="11">
        <f>ROUND(424302.15,2)</f>
        <v>424302.15</v>
      </c>
      <c r="M13" s="11">
        <f>ROUND(424302.15,2)</f>
        <v>424302.15</v>
      </c>
      <c r="N13" s="11">
        <f>ROUND(0,2)</f>
        <v>0</v>
      </c>
      <c r="O13" s="11">
        <f t="shared" si="2"/>
        <v>0</v>
      </c>
    </row>
    <row r="14" spans="1:15" ht="34.5">
      <c r="A14" s="9" t="s">
        <v>52</v>
      </c>
      <c r="B14" s="10" t="s">
        <v>93</v>
      </c>
      <c r="C14" s="10" t="s">
        <v>84</v>
      </c>
      <c r="D14" s="11">
        <f>ROUND(150500,2)</f>
        <v>150500</v>
      </c>
      <c r="E14" s="11">
        <f>ROUND(146200,2)</f>
        <v>146200</v>
      </c>
      <c r="F14" s="11">
        <f>ROUND(0,2)</f>
        <v>0</v>
      </c>
      <c r="G14" s="11">
        <f>ROUND(0,2)</f>
        <v>0</v>
      </c>
      <c r="H14" s="11">
        <f>ROUND(150500,2)</f>
        <v>150500</v>
      </c>
      <c r="I14" s="11">
        <f>ROUND(146200,2)</f>
        <v>146200</v>
      </c>
      <c r="J14" s="11">
        <f aca="true" t="shared" si="3" ref="J14:L15">ROUND(0,2)</f>
        <v>0</v>
      </c>
      <c r="K14" s="11">
        <f t="shared" si="3"/>
        <v>0</v>
      </c>
      <c r="L14" s="11">
        <f t="shared" si="3"/>
        <v>0</v>
      </c>
      <c r="M14" s="11">
        <f>ROUND(0,2)</f>
        <v>0</v>
      </c>
      <c r="N14" s="11">
        <f>ROUND(0,2)</f>
        <v>0</v>
      </c>
      <c r="O14" s="11">
        <f t="shared" si="2"/>
        <v>0</v>
      </c>
    </row>
    <row r="15" spans="1:15" ht="102">
      <c r="A15" s="9" t="s">
        <v>167</v>
      </c>
      <c r="B15" s="10" t="s">
        <v>105</v>
      </c>
      <c r="C15" s="10" t="s">
        <v>62</v>
      </c>
      <c r="D15" s="11">
        <f>ROUND(150500,2)</f>
        <v>150500</v>
      </c>
      <c r="E15" s="11">
        <f>ROUND(146200,2)</f>
        <v>146200</v>
      </c>
      <c r="F15" s="11">
        <f>ROUND(0,2)</f>
        <v>0</v>
      </c>
      <c r="G15" s="11">
        <f>ROUND(0,2)</f>
        <v>0</v>
      </c>
      <c r="H15" s="11">
        <f>ROUND(150500,2)</f>
        <v>150500</v>
      </c>
      <c r="I15" s="11">
        <f>ROUND(146200,2)</f>
        <v>146200</v>
      </c>
      <c r="J15" s="11">
        <f t="shared" si="3"/>
        <v>0</v>
      </c>
      <c r="K15" s="11">
        <f t="shared" si="3"/>
        <v>0</v>
      </c>
      <c r="L15" s="11">
        <f t="shared" si="3"/>
        <v>0</v>
      </c>
      <c r="M15" s="11">
        <f>ROUND(0,2)</f>
        <v>0</v>
      </c>
      <c r="N15" s="11">
        <f>ROUND(0,2)</f>
        <v>0</v>
      </c>
      <c r="O15" s="11">
        <f t="shared" si="2"/>
        <v>0</v>
      </c>
    </row>
    <row r="16" spans="1:15" ht="23.25">
      <c r="A16" s="9" t="s">
        <v>139</v>
      </c>
      <c r="B16" s="10" t="s">
        <v>122</v>
      </c>
      <c r="C16" s="10" t="s">
        <v>46</v>
      </c>
      <c r="D16" s="11">
        <f>ROUND(20728050,2)</f>
        <v>20728050</v>
      </c>
      <c r="E16" s="11">
        <f>ROUND(2445450,2)</f>
        <v>2445450</v>
      </c>
      <c r="F16" s="11">
        <f>ROUND(18806415,2)</f>
        <v>18806415</v>
      </c>
      <c r="G16" s="11">
        <f>ROUND(2445450,2)</f>
        <v>2445450</v>
      </c>
      <c r="H16" s="11">
        <f>ROUND(1921635,2)</f>
        <v>1921635</v>
      </c>
      <c r="I16" s="11">
        <f aca="true" t="shared" si="4" ref="I16:I23">ROUND(0,2)</f>
        <v>0</v>
      </c>
      <c r="J16" s="11">
        <f>ROUND(6698097.36,2)</f>
        <v>6698097.36</v>
      </c>
      <c r="K16" s="11">
        <f>ROUND(1102305.32,2)</f>
        <v>1102305.32</v>
      </c>
      <c r="L16" s="11">
        <f>ROUND(5244395.43,2)</f>
        <v>5244395.43</v>
      </c>
      <c r="M16" s="11">
        <f>ROUND(1102305.32,2)</f>
        <v>1102305.32</v>
      </c>
      <c r="N16" s="11">
        <f>ROUND(1453701.93,2)</f>
        <v>1453701.93</v>
      </c>
      <c r="O16" s="11">
        <f t="shared" si="2"/>
        <v>0</v>
      </c>
    </row>
    <row r="17" spans="1:15" ht="34.5">
      <c r="A17" s="9" t="s">
        <v>71</v>
      </c>
      <c r="B17" s="10" t="s">
        <v>121</v>
      </c>
      <c r="C17" s="10" t="s">
        <v>47</v>
      </c>
      <c r="D17" s="11">
        <f>ROUND(3650635,2)</f>
        <v>3650635</v>
      </c>
      <c r="E17" s="11">
        <f>ROUND(0,2)</f>
        <v>0</v>
      </c>
      <c r="F17" s="11">
        <f>ROUND(2000000,2)</f>
        <v>2000000</v>
      </c>
      <c r="G17" s="11">
        <f>ROUND(0,2)</f>
        <v>0</v>
      </c>
      <c r="H17" s="11">
        <f>ROUND(1650635,2)</f>
        <v>1650635</v>
      </c>
      <c r="I17" s="11">
        <f t="shared" si="4"/>
        <v>0</v>
      </c>
      <c r="J17" s="11">
        <f>ROUND(2205954.12,2)</f>
        <v>2205954.12</v>
      </c>
      <c r="K17" s="11">
        <f>ROUND(0,2)</f>
        <v>0</v>
      </c>
      <c r="L17" s="11">
        <f>ROUND(849385.74,2)</f>
        <v>849385.74</v>
      </c>
      <c r="M17" s="11">
        <f>ROUND(0,2)</f>
        <v>0</v>
      </c>
      <c r="N17" s="11">
        <f>ROUND(1356568.38,2)</f>
        <v>1356568.38</v>
      </c>
      <c r="O17" s="11">
        <f t="shared" si="2"/>
        <v>0</v>
      </c>
    </row>
    <row r="18" spans="1:15" ht="102">
      <c r="A18" s="9" t="s">
        <v>158</v>
      </c>
      <c r="B18" s="10" t="s">
        <v>48</v>
      </c>
      <c r="C18" s="10" t="s">
        <v>0</v>
      </c>
      <c r="D18" s="11">
        <f>ROUND(251800,2)</f>
        <v>251800</v>
      </c>
      <c r="E18" s="11">
        <f>ROUND(251800,2)</f>
        <v>251800</v>
      </c>
      <c r="F18" s="11">
        <f>ROUND(251800,2)</f>
        <v>251800</v>
      </c>
      <c r="G18" s="11">
        <f>ROUND(251800,2)</f>
        <v>251800</v>
      </c>
      <c r="H18" s="11">
        <f aca="true" t="shared" si="5" ref="H18:H23">ROUND(0,2)</f>
        <v>0</v>
      </c>
      <c r="I18" s="11">
        <f t="shared" si="4"/>
        <v>0</v>
      </c>
      <c r="J18" s="11">
        <f>ROUND(12405.32,2)</f>
        <v>12405.32</v>
      </c>
      <c r="K18" s="11">
        <f>ROUND(12405.32,2)</f>
        <v>12405.32</v>
      </c>
      <c r="L18" s="11">
        <f>ROUND(12405.32,2)</f>
        <v>12405.32</v>
      </c>
      <c r="M18" s="11">
        <f>ROUND(12405.32,2)</f>
        <v>12405.32</v>
      </c>
      <c r="N18" s="11">
        <f aca="true" t="shared" si="6" ref="N18:N23">ROUND(0,2)</f>
        <v>0</v>
      </c>
      <c r="O18" s="11">
        <f t="shared" si="2"/>
        <v>0</v>
      </c>
    </row>
    <row r="19" spans="1:15" ht="158.25">
      <c r="A19" s="9" t="s">
        <v>150</v>
      </c>
      <c r="B19" s="10" t="s">
        <v>100</v>
      </c>
      <c r="C19" s="10" t="s">
        <v>26</v>
      </c>
      <c r="D19" s="11">
        <f>ROUND(1762000,2)</f>
        <v>1762000</v>
      </c>
      <c r="E19" s="11">
        <f>ROUND(0,2)</f>
        <v>0</v>
      </c>
      <c r="F19" s="11">
        <f>ROUND(1762000,2)</f>
        <v>1762000</v>
      </c>
      <c r="G19" s="11">
        <f aca="true" t="shared" si="7" ref="G19:G58">ROUND(0,2)</f>
        <v>0</v>
      </c>
      <c r="H19" s="11">
        <f t="shared" si="5"/>
        <v>0</v>
      </c>
      <c r="I19" s="11">
        <f t="shared" si="4"/>
        <v>0</v>
      </c>
      <c r="J19" s="11">
        <f>ROUND(425758.59,2)</f>
        <v>425758.59</v>
      </c>
      <c r="K19" s="11">
        <f aca="true" t="shared" si="8" ref="K19:K29">ROUND(0,2)</f>
        <v>0</v>
      </c>
      <c r="L19" s="11">
        <f>ROUND(425758.59,2)</f>
        <v>425758.59</v>
      </c>
      <c r="M19" s="11">
        <f aca="true" t="shared" si="9" ref="M19:M29">ROUND(0,2)</f>
        <v>0</v>
      </c>
      <c r="N19" s="11">
        <f t="shared" si="6"/>
        <v>0</v>
      </c>
      <c r="O19" s="11">
        <f t="shared" si="2"/>
        <v>0</v>
      </c>
    </row>
    <row r="20" spans="1:15" ht="102">
      <c r="A20" s="9" t="s">
        <v>85</v>
      </c>
      <c r="B20" s="10" t="s">
        <v>89</v>
      </c>
      <c r="C20" s="10" t="s">
        <v>69</v>
      </c>
      <c r="D20" s="11">
        <f>ROUND(9726000,2)</f>
        <v>9726000</v>
      </c>
      <c r="E20" s="11">
        <f>ROUND(0,2)</f>
        <v>0</v>
      </c>
      <c r="F20" s="11">
        <f>ROUND(9726000,2)</f>
        <v>9726000</v>
      </c>
      <c r="G20" s="11">
        <f t="shared" si="7"/>
        <v>0</v>
      </c>
      <c r="H20" s="11">
        <f t="shared" si="5"/>
        <v>0</v>
      </c>
      <c r="I20" s="11">
        <f t="shared" si="4"/>
        <v>0</v>
      </c>
      <c r="J20" s="11">
        <f>ROUND(2361721.07,2)</f>
        <v>2361721.07</v>
      </c>
      <c r="K20" s="11">
        <f t="shared" si="8"/>
        <v>0</v>
      </c>
      <c r="L20" s="11">
        <f>ROUND(2361721.07,2)</f>
        <v>2361721.07</v>
      </c>
      <c r="M20" s="11">
        <f t="shared" si="9"/>
        <v>0</v>
      </c>
      <c r="N20" s="11">
        <f t="shared" si="6"/>
        <v>0</v>
      </c>
      <c r="O20" s="11">
        <f t="shared" si="2"/>
        <v>0</v>
      </c>
    </row>
    <row r="21" spans="1:15" ht="57">
      <c r="A21" s="9" t="s">
        <v>17</v>
      </c>
      <c r="B21" s="10" t="s">
        <v>13</v>
      </c>
      <c r="C21" s="10" t="s">
        <v>146</v>
      </c>
      <c r="D21" s="11">
        <f>ROUND(1362000,2)</f>
        <v>1362000</v>
      </c>
      <c r="E21" s="11">
        <f>ROUND(0,2)</f>
        <v>0</v>
      </c>
      <c r="F21" s="11">
        <f>ROUND(1362000,2)</f>
        <v>1362000</v>
      </c>
      <c r="G21" s="11">
        <f t="shared" si="7"/>
        <v>0</v>
      </c>
      <c r="H21" s="11">
        <f t="shared" si="5"/>
        <v>0</v>
      </c>
      <c r="I21" s="11">
        <f t="shared" si="4"/>
        <v>0</v>
      </c>
      <c r="J21" s="11">
        <f>ROUND(363546.78,2)</f>
        <v>363546.78</v>
      </c>
      <c r="K21" s="11">
        <f t="shared" si="8"/>
        <v>0</v>
      </c>
      <c r="L21" s="11">
        <f>ROUND(363546.78,2)</f>
        <v>363546.78</v>
      </c>
      <c r="M21" s="11">
        <f t="shared" si="9"/>
        <v>0</v>
      </c>
      <c r="N21" s="11">
        <f t="shared" si="6"/>
        <v>0</v>
      </c>
      <c r="O21" s="11">
        <f t="shared" si="2"/>
        <v>0</v>
      </c>
    </row>
    <row r="22" spans="1:15" ht="34.5">
      <c r="A22" s="9" t="s">
        <v>112</v>
      </c>
      <c r="B22" s="10" t="s">
        <v>57</v>
      </c>
      <c r="C22" s="10" t="s">
        <v>143</v>
      </c>
      <c r="D22" s="11">
        <f>ROUND(1488000,2)</f>
        <v>1488000</v>
      </c>
      <c r="E22" s="11">
        <f>ROUND(0,2)</f>
        <v>0</v>
      </c>
      <c r="F22" s="11">
        <f>ROUND(1488000,2)</f>
        <v>1488000</v>
      </c>
      <c r="G22" s="11">
        <f t="shared" si="7"/>
        <v>0</v>
      </c>
      <c r="H22" s="11">
        <f t="shared" si="5"/>
        <v>0</v>
      </c>
      <c r="I22" s="11">
        <f t="shared" si="4"/>
        <v>0</v>
      </c>
      <c r="J22" s="11">
        <f>ROUND(284875.29,2)</f>
        <v>284875.29</v>
      </c>
      <c r="K22" s="11">
        <f t="shared" si="8"/>
        <v>0</v>
      </c>
      <c r="L22" s="11">
        <f>ROUND(284875.29,2)</f>
        <v>284875.29</v>
      </c>
      <c r="M22" s="11">
        <f t="shared" si="9"/>
        <v>0</v>
      </c>
      <c r="N22" s="11">
        <f t="shared" si="6"/>
        <v>0</v>
      </c>
      <c r="O22" s="11">
        <f t="shared" si="2"/>
        <v>0</v>
      </c>
    </row>
    <row r="23" spans="1:15" ht="57">
      <c r="A23" s="9" t="s">
        <v>31</v>
      </c>
      <c r="B23" s="10" t="s">
        <v>42</v>
      </c>
      <c r="C23" s="10" t="s">
        <v>97</v>
      </c>
      <c r="D23" s="11">
        <f>ROUND(6876000,2)</f>
        <v>6876000</v>
      </c>
      <c r="E23" s="11">
        <f>ROUND(0,2)</f>
        <v>0</v>
      </c>
      <c r="F23" s="11">
        <f>ROUND(6876000,2)</f>
        <v>6876000</v>
      </c>
      <c r="G23" s="11">
        <f t="shared" si="7"/>
        <v>0</v>
      </c>
      <c r="H23" s="11">
        <f t="shared" si="5"/>
        <v>0</v>
      </c>
      <c r="I23" s="11">
        <f t="shared" si="4"/>
        <v>0</v>
      </c>
      <c r="J23" s="11">
        <f>ROUND(1713299,2)</f>
        <v>1713299</v>
      </c>
      <c r="K23" s="11">
        <f t="shared" si="8"/>
        <v>0</v>
      </c>
      <c r="L23" s="11">
        <f>ROUND(1713299,2)</f>
        <v>1713299</v>
      </c>
      <c r="M23" s="11">
        <f t="shared" si="9"/>
        <v>0</v>
      </c>
      <c r="N23" s="11">
        <f t="shared" si="6"/>
        <v>0</v>
      </c>
      <c r="O23" s="11">
        <f t="shared" si="2"/>
        <v>0</v>
      </c>
    </row>
    <row r="24" spans="1:15" ht="45.75">
      <c r="A24" s="9" t="s">
        <v>108</v>
      </c>
      <c r="B24" s="10" t="s">
        <v>127</v>
      </c>
      <c r="C24" s="10" t="s">
        <v>156</v>
      </c>
      <c r="D24" s="11">
        <f>ROUND(556381622.25,2)</f>
        <v>556381622.25</v>
      </c>
      <c r="E24" s="11">
        <f>ROUND(3800,2)</f>
        <v>3800</v>
      </c>
      <c r="F24" s="11">
        <f>ROUND(521211088.25,2)</f>
        <v>521211088.25</v>
      </c>
      <c r="G24" s="11">
        <f t="shared" si="7"/>
        <v>0</v>
      </c>
      <c r="H24" s="11">
        <f>ROUND(35170534,2)</f>
        <v>35170534</v>
      </c>
      <c r="I24" s="11">
        <f>ROUND(3800,2)</f>
        <v>3800</v>
      </c>
      <c r="J24" s="11">
        <f>ROUND(45835684.52,2)</f>
        <v>45835684.52</v>
      </c>
      <c r="K24" s="11">
        <f t="shared" si="8"/>
        <v>0</v>
      </c>
      <c r="L24" s="11">
        <f>ROUND(38252937.95,2)</f>
        <v>38252937.95</v>
      </c>
      <c r="M24" s="11">
        <f t="shared" si="9"/>
        <v>0</v>
      </c>
      <c r="N24" s="11">
        <f>ROUND(7582746.57,2)</f>
        <v>7582746.57</v>
      </c>
      <c r="O24" s="11">
        <f t="shared" si="2"/>
        <v>0</v>
      </c>
    </row>
    <row r="25" spans="1:15" ht="34.5">
      <c r="A25" s="9" t="s">
        <v>7</v>
      </c>
      <c r="B25" s="10" t="s">
        <v>56</v>
      </c>
      <c r="C25" s="10" t="s">
        <v>36</v>
      </c>
      <c r="D25" s="11">
        <f>ROUND(387961352.53,2)</f>
        <v>387961352.53</v>
      </c>
      <c r="E25" s="11">
        <f aca="true" t="shared" si="10" ref="E25:E58">ROUND(0,2)</f>
        <v>0</v>
      </c>
      <c r="F25" s="11">
        <f>ROUND(387461352.53,2)</f>
        <v>387461352.53</v>
      </c>
      <c r="G25" s="11">
        <f t="shared" si="7"/>
        <v>0</v>
      </c>
      <c r="H25" s="11">
        <f>ROUND(500000,2)</f>
        <v>500000</v>
      </c>
      <c r="I25" s="11">
        <f aca="true" t="shared" si="11" ref="I25:I58">ROUND(0,2)</f>
        <v>0</v>
      </c>
      <c r="J25" s="11">
        <f>ROUND(2504808.93,2)</f>
        <v>2504808.93</v>
      </c>
      <c r="K25" s="11">
        <f t="shared" si="8"/>
        <v>0</v>
      </c>
      <c r="L25" s="11">
        <f>ROUND(2504808.93,2)</f>
        <v>2504808.93</v>
      </c>
      <c r="M25" s="11">
        <f t="shared" si="9"/>
        <v>0</v>
      </c>
      <c r="N25" s="11">
        <f>ROUND(0,2)</f>
        <v>0</v>
      </c>
      <c r="O25" s="11">
        <f t="shared" si="2"/>
        <v>0</v>
      </c>
    </row>
    <row r="26" spans="1:15" ht="23.25">
      <c r="A26" s="9" t="s">
        <v>75</v>
      </c>
      <c r="B26" s="10" t="s">
        <v>95</v>
      </c>
      <c r="C26" s="10" t="s">
        <v>98</v>
      </c>
      <c r="D26" s="11">
        <f aca="true" t="shared" si="12" ref="D26:D45">ROUND(0,2)</f>
        <v>0</v>
      </c>
      <c r="E26" s="11">
        <f t="shared" si="10"/>
        <v>0</v>
      </c>
      <c r="F26" s="11">
        <f aca="true" t="shared" si="13" ref="F26:F45">ROUND(0,2)</f>
        <v>0</v>
      </c>
      <c r="G26" s="11">
        <f t="shared" si="7"/>
        <v>0</v>
      </c>
      <c r="H26" s="11">
        <f aca="true" t="shared" si="14" ref="H26:H45">ROUND(0,2)</f>
        <v>0</v>
      </c>
      <c r="I26" s="11">
        <f t="shared" si="11"/>
        <v>0</v>
      </c>
      <c r="J26" s="11">
        <f>ROUND(55498069.63,2)</f>
        <v>55498069.63</v>
      </c>
      <c r="K26" s="11">
        <f t="shared" si="8"/>
        <v>0</v>
      </c>
      <c r="L26" s="11">
        <f>ROUND(54867969.63,2)</f>
        <v>54867969.63</v>
      </c>
      <c r="M26" s="11">
        <f t="shared" si="9"/>
        <v>0</v>
      </c>
      <c r="N26" s="11">
        <f>ROUND(630100,2)</f>
        <v>630100</v>
      </c>
      <c r="O26" s="11">
        <f t="shared" si="2"/>
        <v>0</v>
      </c>
    </row>
    <row r="27" spans="1:15" ht="79.5">
      <c r="A27" s="9" t="s">
        <v>5</v>
      </c>
      <c r="B27" s="10" t="s">
        <v>6</v>
      </c>
      <c r="C27" s="10" t="s">
        <v>118</v>
      </c>
      <c r="D27" s="11">
        <f t="shared" si="12"/>
        <v>0</v>
      </c>
      <c r="E27" s="11">
        <f t="shared" si="10"/>
        <v>0</v>
      </c>
      <c r="F27" s="11">
        <f t="shared" si="13"/>
        <v>0</v>
      </c>
      <c r="G27" s="11">
        <f t="shared" si="7"/>
        <v>0</v>
      </c>
      <c r="H27" s="11">
        <f t="shared" si="14"/>
        <v>0</v>
      </c>
      <c r="I27" s="11">
        <f t="shared" si="11"/>
        <v>0</v>
      </c>
      <c r="J27" s="11">
        <f>ROUND(55498069.63,2)</f>
        <v>55498069.63</v>
      </c>
      <c r="K27" s="11">
        <f t="shared" si="8"/>
        <v>0</v>
      </c>
      <c r="L27" s="11">
        <f>ROUND(54867969.63,2)</f>
        <v>54867969.63</v>
      </c>
      <c r="M27" s="11">
        <f t="shared" si="9"/>
        <v>0</v>
      </c>
      <c r="N27" s="11">
        <f>ROUND(630100,2)</f>
        <v>630100</v>
      </c>
      <c r="O27" s="11">
        <f t="shared" si="2"/>
        <v>0</v>
      </c>
    </row>
    <row r="28" spans="1:15" ht="79.5">
      <c r="A28" s="9" t="s">
        <v>20</v>
      </c>
      <c r="B28" s="10" t="s">
        <v>65</v>
      </c>
      <c r="C28" s="10" t="s">
        <v>125</v>
      </c>
      <c r="D28" s="11">
        <f t="shared" si="12"/>
        <v>0</v>
      </c>
      <c r="E28" s="11">
        <f t="shared" si="10"/>
        <v>0</v>
      </c>
      <c r="F28" s="11">
        <f t="shared" si="13"/>
        <v>0</v>
      </c>
      <c r="G28" s="11">
        <f t="shared" si="7"/>
        <v>0</v>
      </c>
      <c r="H28" s="11">
        <f t="shared" si="14"/>
        <v>0</v>
      </c>
      <c r="I28" s="11">
        <f t="shared" si="11"/>
        <v>0</v>
      </c>
      <c r="J28" s="11">
        <f>ROUND(54867969.63,2)</f>
        <v>54867969.63</v>
      </c>
      <c r="K28" s="11">
        <f t="shared" si="8"/>
        <v>0</v>
      </c>
      <c r="L28" s="11">
        <f>ROUND(54867969.63,2)</f>
        <v>54867969.63</v>
      </c>
      <c r="M28" s="11">
        <f t="shared" si="9"/>
        <v>0</v>
      </c>
      <c r="N28" s="11">
        <f>ROUND(0,2)</f>
        <v>0</v>
      </c>
      <c r="O28" s="11">
        <f t="shared" si="2"/>
        <v>0</v>
      </c>
    </row>
    <row r="29" spans="1:15" ht="57">
      <c r="A29" s="9" t="s">
        <v>83</v>
      </c>
      <c r="B29" s="10" t="s">
        <v>166</v>
      </c>
      <c r="C29" s="10" t="s">
        <v>141</v>
      </c>
      <c r="D29" s="11">
        <f t="shared" si="12"/>
        <v>0</v>
      </c>
      <c r="E29" s="11">
        <f t="shared" si="10"/>
        <v>0</v>
      </c>
      <c r="F29" s="11">
        <f t="shared" si="13"/>
        <v>0</v>
      </c>
      <c r="G29" s="11">
        <f t="shared" si="7"/>
        <v>0</v>
      </c>
      <c r="H29" s="11">
        <f t="shared" si="14"/>
        <v>0</v>
      </c>
      <c r="I29" s="11">
        <f t="shared" si="11"/>
        <v>0</v>
      </c>
      <c r="J29" s="11">
        <f>ROUND(630100,2)</f>
        <v>630100</v>
      </c>
      <c r="K29" s="11">
        <f t="shared" si="8"/>
        <v>0</v>
      </c>
      <c r="L29" s="11">
        <f>ROUND(0,2)</f>
        <v>0</v>
      </c>
      <c r="M29" s="11">
        <f t="shared" si="9"/>
        <v>0</v>
      </c>
      <c r="N29" s="11">
        <f>ROUND(630100,2)</f>
        <v>630100</v>
      </c>
      <c r="O29" s="11">
        <f t="shared" si="2"/>
        <v>0</v>
      </c>
    </row>
    <row r="30" spans="1:15" ht="45.75">
      <c r="A30" s="9" t="s">
        <v>68</v>
      </c>
      <c r="B30" s="10" t="s">
        <v>39</v>
      </c>
      <c r="C30" s="10" t="s">
        <v>21</v>
      </c>
      <c r="D30" s="11">
        <f t="shared" si="12"/>
        <v>0</v>
      </c>
      <c r="E30" s="11">
        <f t="shared" si="10"/>
        <v>0</v>
      </c>
      <c r="F30" s="11">
        <f t="shared" si="13"/>
        <v>0</v>
      </c>
      <c r="G30" s="11">
        <f t="shared" si="7"/>
        <v>0</v>
      </c>
      <c r="H30" s="11">
        <f t="shared" si="14"/>
        <v>0</v>
      </c>
      <c r="I30" s="11">
        <f t="shared" si="11"/>
        <v>0</v>
      </c>
      <c r="J30" s="11">
        <f>ROUND(25815505.49,2)</f>
        <v>25815505.49</v>
      </c>
      <c r="K30" s="11">
        <f>ROUND(6639762.2,2)</f>
        <v>6639762.2</v>
      </c>
      <c r="L30" s="11">
        <f>ROUND(12817969.94,2)</f>
        <v>12817969.94</v>
      </c>
      <c r="M30" s="11">
        <f>ROUND(5031820.19,2)</f>
        <v>5031820.19</v>
      </c>
      <c r="N30" s="11">
        <f>ROUND(12997535.55,2)</f>
        <v>12997535.55</v>
      </c>
      <c r="O30" s="11">
        <f>ROUND(1607942.01,2)</f>
        <v>1607942.01</v>
      </c>
    </row>
    <row r="31" spans="1:15" ht="34.5">
      <c r="A31" s="9" t="s">
        <v>169</v>
      </c>
      <c r="B31" s="10" t="s">
        <v>111</v>
      </c>
      <c r="C31" s="10" t="s">
        <v>55</v>
      </c>
      <c r="D31" s="11">
        <f t="shared" si="12"/>
        <v>0</v>
      </c>
      <c r="E31" s="11">
        <f t="shared" si="10"/>
        <v>0</v>
      </c>
      <c r="F31" s="11">
        <f t="shared" si="13"/>
        <v>0</v>
      </c>
      <c r="G31" s="11">
        <f t="shared" si="7"/>
        <v>0</v>
      </c>
      <c r="H31" s="11">
        <f t="shared" si="14"/>
        <v>0</v>
      </c>
      <c r="I31" s="11">
        <f t="shared" si="11"/>
        <v>0</v>
      </c>
      <c r="J31" s="11">
        <f>ROUND(10896923.48,2)</f>
        <v>10896923.48</v>
      </c>
      <c r="K31" s="11">
        <f>ROUND(6639762.2,2)</f>
        <v>6639762.2</v>
      </c>
      <c r="L31" s="11">
        <f>ROUND(7946430.36,2)</f>
        <v>7946430.36</v>
      </c>
      <c r="M31" s="11">
        <f>ROUND(5031820.19,2)</f>
        <v>5031820.19</v>
      </c>
      <c r="N31" s="11">
        <f>ROUND(2950493.12,2)</f>
        <v>2950493.12</v>
      </c>
      <c r="O31" s="11">
        <f>ROUND(1607942.01,2)</f>
        <v>1607942.01</v>
      </c>
    </row>
    <row r="32" spans="1:15" ht="34.5">
      <c r="A32" s="9" t="s">
        <v>142</v>
      </c>
      <c r="B32" s="10" t="s">
        <v>160</v>
      </c>
      <c r="C32" s="10" t="s">
        <v>79</v>
      </c>
      <c r="D32" s="11">
        <f t="shared" si="12"/>
        <v>0</v>
      </c>
      <c r="E32" s="11">
        <f t="shared" si="10"/>
        <v>0</v>
      </c>
      <c r="F32" s="11">
        <f t="shared" si="13"/>
        <v>0</v>
      </c>
      <c r="G32" s="11">
        <f t="shared" si="7"/>
        <v>0</v>
      </c>
      <c r="H32" s="11">
        <f t="shared" si="14"/>
        <v>0</v>
      </c>
      <c r="I32" s="11">
        <f t="shared" si="11"/>
        <v>0</v>
      </c>
      <c r="J32" s="11">
        <f>ROUND(2550641.54,2)</f>
        <v>2550641.54</v>
      </c>
      <c r="K32" s="11">
        <f>ROUND(450,2)</f>
        <v>450</v>
      </c>
      <c r="L32" s="11">
        <f>ROUND(451852.82,2)</f>
        <v>451852.82</v>
      </c>
      <c r="M32" s="11">
        <f aca="true" t="shared" si="15" ref="M32:M58">ROUND(0,2)</f>
        <v>0</v>
      </c>
      <c r="N32" s="11">
        <f>ROUND(2098788.72,2)</f>
        <v>2098788.72</v>
      </c>
      <c r="O32" s="11">
        <f>ROUND(450,2)</f>
        <v>450</v>
      </c>
    </row>
    <row r="33" spans="1:15" ht="57">
      <c r="A33" s="9" t="s">
        <v>74</v>
      </c>
      <c r="B33" s="10" t="s">
        <v>76</v>
      </c>
      <c r="C33" s="10" t="s">
        <v>157</v>
      </c>
      <c r="D33" s="11">
        <f t="shared" si="12"/>
        <v>0</v>
      </c>
      <c r="E33" s="11">
        <f t="shared" si="10"/>
        <v>0</v>
      </c>
      <c r="F33" s="11">
        <f t="shared" si="13"/>
        <v>0</v>
      </c>
      <c r="G33" s="11">
        <f t="shared" si="7"/>
        <v>0</v>
      </c>
      <c r="H33" s="11">
        <f t="shared" si="14"/>
        <v>0</v>
      </c>
      <c r="I33" s="11">
        <f t="shared" si="11"/>
        <v>0</v>
      </c>
      <c r="J33" s="11">
        <f>ROUND(855470.22,2)</f>
        <v>855470.22</v>
      </c>
      <c r="K33" s="11">
        <f aca="true" t="shared" si="16" ref="K33:K58">ROUND(0,2)</f>
        <v>0</v>
      </c>
      <c r="L33" s="11">
        <f>ROUND(86597.42,2)</f>
        <v>86597.42</v>
      </c>
      <c r="M33" s="11">
        <f t="shared" si="15"/>
        <v>0</v>
      </c>
      <c r="N33" s="11">
        <f>ROUND(768872.8,2)</f>
        <v>768872.8</v>
      </c>
      <c r="O33" s="11">
        <f aca="true" t="shared" si="17" ref="O33:O58">ROUND(0,2)</f>
        <v>0</v>
      </c>
    </row>
    <row r="34" spans="1:15" ht="214.5">
      <c r="A34" s="9" t="s">
        <v>149</v>
      </c>
      <c r="B34" s="10" t="s">
        <v>81</v>
      </c>
      <c r="C34" s="10" t="s">
        <v>86</v>
      </c>
      <c r="D34" s="11">
        <f t="shared" si="12"/>
        <v>0</v>
      </c>
      <c r="E34" s="11">
        <f t="shared" si="10"/>
        <v>0</v>
      </c>
      <c r="F34" s="11">
        <f t="shared" si="13"/>
        <v>0</v>
      </c>
      <c r="G34" s="11">
        <f t="shared" si="7"/>
        <v>0</v>
      </c>
      <c r="H34" s="11">
        <f t="shared" si="14"/>
        <v>0</v>
      </c>
      <c r="I34" s="11">
        <f t="shared" si="11"/>
        <v>0</v>
      </c>
      <c r="J34" s="11">
        <f>ROUND(233211.34,2)</f>
        <v>233211.34</v>
      </c>
      <c r="K34" s="11">
        <f t="shared" si="16"/>
        <v>0</v>
      </c>
      <c r="L34" s="11">
        <f>ROUND(0,2)</f>
        <v>0</v>
      </c>
      <c r="M34" s="11">
        <f t="shared" si="15"/>
        <v>0</v>
      </c>
      <c r="N34" s="11">
        <f>ROUND(233211.34,2)</f>
        <v>233211.34</v>
      </c>
      <c r="O34" s="11">
        <f t="shared" si="17"/>
        <v>0</v>
      </c>
    </row>
    <row r="35" spans="1:15" ht="23.25">
      <c r="A35" s="9" t="s">
        <v>58</v>
      </c>
      <c r="B35" s="10" t="s">
        <v>73</v>
      </c>
      <c r="C35" s="10" t="s">
        <v>35</v>
      </c>
      <c r="D35" s="11">
        <f t="shared" si="12"/>
        <v>0</v>
      </c>
      <c r="E35" s="11">
        <f t="shared" si="10"/>
        <v>0</v>
      </c>
      <c r="F35" s="11">
        <f t="shared" si="13"/>
        <v>0</v>
      </c>
      <c r="G35" s="11">
        <f t="shared" si="7"/>
        <v>0</v>
      </c>
      <c r="H35" s="11">
        <f t="shared" si="14"/>
        <v>0</v>
      </c>
      <c r="I35" s="11">
        <f t="shared" si="11"/>
        <v>0</v>
      </c>
      <c r="J35" s="11">
        <f>ROUND(6258029.24,2)</f>
        <v>6258029.24</v>
      </c>
      <c r="K35" s="11">
        <f t="shared" si="16"/>
        <v>0</v>
      </c>
      <c r="L35" s="11">
        <f>ROUND(2911816.52,2)</f>
        <v>2911816.52</v>
      </c>
      <c r="M35" s="11">
        <f t="shared" si="15"/>
        <v>0</v>
      </c>
      <c r="N35" s="11">
        <f>ROUND(3346212.72,2)</f>
        <v>3346212.72</v>
      </c>
      <c r="O35" s="11">
        <f t="shared" si="17"/>
        <v>0</v>
      </c>
    </row>
    <row r="36" spans="1:15" ht="169.5">
      <c r="A36" s="9" t="s">
        <v>138</v>
      </c>
      <c r="B36" s="10" t="s">
        <v>148</v>
      </c>
      <c r="C36" s="10" t="s">
        <v>162</v>
      </c>
      <c r="D36" s="11">
        <f t="shared" si="12"/>
        <v>0</v>
      </c>
      <c r="E36" s="11">
        <f t="shared" si="10"/>
        <v>0</v>
      </c>
      <c r="F36" s="11">
        <f t="shared" si="13"/>
        <v>0</v>
      </c>
      <c r="G36" s="11">
        <f t="shared" si="7"/>
        <v>0</v>
      </c>
      <c r="H36" s="11">
        <f t="shared" si="14"/>
        <v>0</v>
      </c>
      <c r="I36" s="11">
        <f t="shared" si="11"/>
        <v>0</v>
      </c>
      <c r="J36" s="11">
        <f>ROUND(11881,2)</f>
        <v>11881</v>
      </c>
      <c r="K36" s="11">
        <f t="shared" si="16"/>
        <v>0</v>
      </c>
      <c r="L36" s="11">
        <f>ROUND(0,2)</f>
        <v>0</v>
      </c>
      <c r="M36" s="11">
        <f t="shared" si="15"/>
        <v>0</v>
      </c>
      <c r="N36" s="11">
        <f>ROUND(11881,2)</f>
        <v>11881</v>
      </c>
      <c r="O36" s="11">
        <f t="shared" si="17"/>
        <v>0</v>
      </c>
    </row>
    <row r="37" spans="1:15" ht="113.25">
      <c r="A37" s="9" t="s">
        <v>59</v>
      </c>
      <c r="B37" s="10" t="s">
        <v>14</v>
      </c>
      <c r="C37" s="10" t="s">
        <v>155</v>
      </c>
      <c r="D37" s="11">
        <f t="shared" si="12"/>
        <v>0</v>
      </c>
      <c r="E37" s="11">
        <f t="shared" si="10"/>
        <v>0</v>
      </c>
      <c r="F37" s="11">
        <f t="shared" si="13"/>
        <v>0</v>
      </c>
      <c r="G37" s="11">
        <f t="shared" si="7"/>
        <v>0</v>
      </c>
      <c r="H37" s="11">
        <f t="shared" si="14"/>
        <v>0</v>
      </c>
      <c r="I37" s="11">
        <f t="shared" si="11"/>
        <v>0</v>
      </c>
      <c r="J37" s="11">
        <f>ROUND(1068684.71,2)</f>
        <v>1068684.71</v>
      </c>
      <c r="K37" s="11">
        <f t="shared" si="16"/>
        <v>0</v>
      </c>
      <c r="L37" s="11">
        <f>ROUND(0,2)</f>
        <v>0</v>
      </c>
      <c r="M37" s="11">
        <f t="shared" si="15"/>
        <v>0</v>
      </c>
      <c r="N37" s="11">
        <f>ROUND(1068684.71,2)</f>
        <v>1068684.71</v>
      </c>
      <c r="O37" s="11">
        <f t="shared" si="17"/>
        <v>0</v>
      </c>
    </row>
    <row r="38" spans="1:15" ht="203.25">
      <c r="A38" s="9" t="s">
        <v>136</v>
      </c>
      <c r="B38" s="10" t="s">
        <v>94</v>
      </c>
      <c r="C38" s="10" t="s">
        <v>44</v>
      </c>
      <c r="D38" s="11">
        <f t="shared" si="12"/>
        <v>0</v>
      </c>
      <c r="E38" s="11">
        <f t="shared" si="10"/>
        <v>0</v>
      </c>
      <c r="F38" s="11">
        <f t="shared" si="13"/>
        <v>0</v>
      </c>
      <c r="G38" s="11">
        <f t="shared" si="7"/>
        <v>0</v>
      </c>
      <c r="H38" s="11">
        <f t="shared" si="14"/>
        <v>0</v>
      </c>
      <c r="I38" s="11">
        <f t="shared" si="11"/>
        <v>0</v>
      </c>
      <c r="J38" s="11">
        <f>ROUND(881437.82,2)</f>
        <v>881437.82</v>
      </c>
      <c r="K38" s="11">
        <f t="shared" si="16"/>
        <v>0</v>
      </c>
      <c r="L38" s="11">
        <f>ROUND(288213.82,2)</f>
        <v>288213.82</v>
      </c>
      <c r="M38" s="11">
        <f t="shared" si="15"/>
        <v>0</v>
      </c>
      <c r="N38" s="11">
        <f>ROUND(593224,2)</f>
        <v>593224</v>
      </c>
      <c r="O38" s="11">
        <f t="shared" si="17"/>
        <v>0</v>
      </c>
    </row>
    <row r="39" spans="1:15" ht="124.5">
      <c r="A39" s="9" t="s">
        <v>30</v>
      </c>
      <c r="B39" s="10" t="s">
        <v>114</v>
      </c>
      <c r="C39" s="10" t="s">
        <v>77</v>
      </c>
      <c r="D39" s="11">
        <f t="shared" si="12"/>
        <v>0</v>
      </c>
      <c r="E39" s="11">
        <f t="shared" si="10"/>
        <v>0</v>
      </c>
      <c r="F39" s="11">
        <f t="shared" si="13"/>
        <v>0</v>
      </c>
      <c r="G39" s="11">
        <f t="shared" si="7"/>
        <v>0</v>
      </c>
      <c r="H39" s="11">
        <f t="shared" si="14"/>
        <v>0</v>
      </c>
      <c r="I39" s="11">
        <f t="shared" si="11"/>
        <v>0</v>
      </c>
      <c r="J39" s="11">
        <f>ROUND(82094.62,2)</f>
        <v>82094.62</v>
      </c>
      <c r="K39" s="11">
        <f t="shared" si="16"/>
        <v>0</v>
      </c>
      <c r="L39" s="11">
        <f>ROUND(30000,2)</f>
        <v>30000</v>
      </c>
      <c r="M39" s="11">
        <f t="shared" si="15"/>
        <v>0</v>
      </c>
      <c r="N39" s="11">
        <f>ROUND(52094.62,2)</f>
        <v>52094.62</v>
      </c>
      <c r="O39" s="11">
        <f t="shared" si="17"/>
        <v>0</v>
      </c>
    </row>
    <row r="40" spans="1:15" ht="57">
      <c r="A40" s="9" t="s">
        <v>123</v>
      </c>
      <c r="B40" s="10" t="s">
        <v>45</v>
      </c>
      <c r="C40" s="10" t="s">
        <v>96</v>
      </c>
      <c r="D40" s="11">
        <f t="shared" si="12"/>
        <v>0</v>
      </c>
      <c r="E40" s="11">
        <f t="shared" si="10"/>
        <v>0</v>
      </c>
      <c r="F40" s="11">
        <f t="shared" si="13"/>
        <v>0</v>
      </c>
      <c r="G40" s="11">
        <f t="shared" si="7"/>
        <v>0</v>
      </c>
      <c r="H40" s="11">
        <f t="shared" si="14"/>
        <v>0</v>
      </c>
      <c r="I40" s="11">
        <f t="shared" si="11"/>
        <v>0</v>
      </c>
      <c r="J40" s="11">
        <f>ROUND(1386.9,2)</f>
        <v>1386.9</v>
      </c>
      <c r="K40" s="11">
        <f t="shared" si="16"/>
        <v>0</v>
      </c>
      <c r="L40" s="11">
        <f>ROUND(1386.9,2)</f>
        <v>1386.9</v>
      </c>
      <c r="M40" s="11">
        <f t="shared" si="15"/>
        <v>0</v>
      </c>
      <c r="N40" s="11">
        <f>ROUND(0,2)</f>
        <v>0</v>
      </c>
      <c r="O40" s="11">
        <f t="shared" si="17"/>
        <v>0</v>
      </c>
    </row>
    <row r="41" spans="1:15" ht="23.25">
      <c r="A41" s="9" t="s">
        <v>3</v>
      </c>
      <c r="B41" s="10" t="s">
        <v>133</v>
      </c>
      <c r="C41" s="10" t="s">
        <v>43</v>
      </c>
      <c r="D41" s="11">
        <f t="shared" si="12"/>
        <v>0</v>
      </c>
      <c r="E41" s="11">
        <f t="shared" si="10"/>
        <v>0</v>
      </c>
      <c r="F41" s="11">
        <f t="shared" si="13"/>
        <v>0</v>
      </c>
      <c r="G41" s="11">
        <f t="shared" si="7"/>
        <v>0</v>
      </c>
      <c r="H41" s="11">
        <f t="shared" si="14"/>
        <v>0</v>
      </c>
      <c r="I41" s="11">
        <f t="shared" si="11"/>
        <v>0</v>
      </c>
      <c r="J41" s="11">
        <f>ROUND(27057.45,2)</f>
        <v>27057.45</v>
      </c>
      <c r="K41" s="11">
        <f t="shared" si="16"/>
        <v>0</v>
      </c>
      <c r="L41" s="11">
        <f>ROUND(20949.72,2)</f>
        <v>20949.72</v>
      </c>
      <c r="M41" s="11">
        <f t="shared" si="15"/>
        <v>0</v>
      </c>
      <c r="N41" s="11">
        <f>ROUND(6107.73,2)</f>
        <v>6107.73</v>
      </c>
      <c r="O41" s="11">
        <f t="shared" si="17"/>
        <v>0</v>
      </c>
    </row>
    <row r="42" spans="1:15" ht="34.5">
      <c r="A42" s="9" t="s">
        <v>41</v>
      </c>
      <c r="B42" s="10" t="s">
        <v>135</v>
      </c>
      <c r="C42" s="10" t="s">
        <v>168</v>
      </c>
      <c r="D42" s="11">
        <f t="shared" si="12"/>
        <v>0</v>
      </c>
      <c r="E42" s="11">
        <f t="shared" si="10"/>
        <v>0</v>
      </c>
      <c r="F42" s="11">
        <f t="shared" si="13"/>
        <v>0</v>
      </c>
      <c r="G42" s="11">
        <f t="shared" si="7"/>
        <v>0</v>
      </c>
      <c r="H42" s="11">
        <f t="shared" si="14"/>
        <v>0</v>
      </c>
      <c r="I42" s="11">
        <f t="shared" si="11"/>
        <v>0</v>
      </c>
      <c r="J42" s="11">
        <f>ROUND(269829.49,2)</f>
        <v>269829.49</v>
      </c>
      <c r="K42" s="11">
        <f t="shared" si="16"/>
        <v>0</v>
      </c>
      <c r="L42" s="11">
        <f>ROUND(0,2)</f>
        <v>0</v>
      </c>
      <c r="M42" s="11">
        <f t="shared" si="15"/>
        <v>0</v>
      </c>
      <c r="N42" s="11">
        <f>ROUND(269829.49,2)</f>
        <v>269829.49</v>
      </c>
      <c r="O42" s="11">
        <f t="shared" si="17"/>
        <v>0</v>
      </c>
    </row>
    <row r="43" spans="1:15" ht="23.25">
      <c r="A43" s="9" t="s">
        <v>109</v>
      </c>
      <c r="B43" s="10" t="s">
        <v>101</v>
      </c>
      <c r="C43" s="10" t="s">
        <v>120</v>
      </c>
      <c r="D43" s="11">
        <f t="shared" si="12"/>
        <v>0</v>
      </c>
      <c r="E43" s="11">
        <f t="shared" si="10"/>
        <v>0</v>
      </c>
      <c r="F43" s="11">
        <f t="shared" si="13"/>
        <v>0</v>
      </c>
      <c r="G43" s="11">
        <f t="shared" si="7"/>
        <v>0</v>
      </c>
      <c r="H43" s="11">
        <f t="shared" si="14"/>
        <v>0</v>
      </c>
      <c r="I43" s="11">
        <f t="shared" si="11"/>
        <v>0</v>
      </c>
      <c r="J43" s="11">
        <f>ROUND(1132333.17,2)</f>
        <v>1132333.17</v>
      </c>
      <c r="K43" s="11">
        <f t="shared" si="16"/>
        <v>0</v>
      </c>
      <c r="L43" s="11">
        <f>ROUND(295541.44,2)</f>
        <v>295541.44</v>
      </c>
      <c r="M43" s="11">
        <f t="shared" si="15"/>
        <v>0</v>
      </c>
      <c r="N43" s="11">
        <f>ROUND(836791.73,2)</f>
        <v>836791.73</v>
      </c>
      <c r="O43" s="11">
        <f t="shared" si="17"/>
        <v>0</v>
      </c>
    </row>
    <row r="44" spans="1:15" ht="102">
      <c r="A44" s="9" t="s">
        <v>16</v>
      </c>
      <c r="B44" s="10" t="s">
        <v>2</v>
      </c>
      <c r="C44" s="10" t="s">
        <v>129</v>
      </c>
      <c r="D44" s="11">
        <f t="shared" si="12"/>
        <v>0</v>
      </c>
      <c r="E44" s="11">
        <f t="shared" si="10"/>
        <v>0</v>
      </c>
      <c r="F44" s="11">
        <f t="shared" si="13"/>
        <v>0</v>
      </c>
      <c r="G44" s="11">
        <f t="shared" si="7"/>
        <v>0</v>
      </c>
      <c r="H44" s="11">
        <f t="shared" si="14"/>
        <v>0</v>
      </c>
      <c r="I44" s="11">
        <f t="shared" si="11"/>
        <v>0</v>
      </c>
      <c r="J44" s="11">
        <f>ROUND(136252.78,2)</f>
        <v>136252.78</v>
      </c>
      <c r="K44" s="11">
        <f t="shared" si="16"/>
        <v>0</v>
      </c>
      <c r="L44" s="11">
        <f>ROUND(0,2)</f>
        <v>0</v>
      </c>
      <c r="M44" s="11">
        <f t="shared" si="15"/>
        <v>0</v>
      </c>
      <c r="N44" s="11">
        <f>ROUND(136252.78,2)</f>
        <v>136252.78</v>
      </c>
      <c r="O44" s="11">
        <f t="shared" si="17"/>
        <v>0</v>
      </c>
    </row>
    <row r="45" spans="1:15" ht="79.5">
      <c r="A45" s="9" t="s">
        <v>92</v>
      </c>
      <c r="B45" s="10" t="s">
        <v>170</v>
      </c>
      <c r="C45" s="10" t="s">
        <v>61</v>
      </c>
      <c r="D45" s="11">
        <f t="shared" si="12"/>
        <v>0</v>
      </c>
      <c r="E45" s="11">
        <f t="shared" si="10"/>
        <v>0</v>
      </c>
      <c r="F45" s="11">
        <f t="shared" si="13"/>
        <v>0</v>
      </c>
      <c r="G45" s="11">
        <f t="shared" si="7"/>
        <v>0</v>
      </c>
      <c r="H45" s="11">
        <f t="shared" si="14"/>
        <v>0</v>
      </c>
      <c r="I45" s="11">
        <f t="shared" si="11"/>
        <v>0</v>
      </c>
      <c r="J45" s="11">
        <f>ROUND(76192.06,2)</f>
        <v>76192.06</v>
      </c>
      <c r="K45" s="11">
        <f t="shared" si="16"/>
        <v>0</v>
      </c>
      <c r="L45" s="11">
        <f>ROUND(0,2)</f>
        <v>0</v>
      </c>
      <c r="M45" s="11">
        <f t="shared" si="15"/>
        <v>0</v>
      </c>
      <c r="N45" s="11">
        <f>ROUND(76192.06,2)</f>
        <v>76192.06</v>
      </c>
      <c r="O45" s="11">
        <f t="shared" si="17"/>
        <v>0</v>
      </c>
    </row>
    <row r="46" spans="1:15" ht="135.75">
      <c r="A46" s="9" t="s">
        <v>53</v>
      </c>
      <c r="B46" s="10" t="s">
        <v>119</v>
      </c>
      <c r="C46" s="10" t="s">
        <v>38</v>
      </c>
      <c r="D46" s="11">
        <f>ROUND(225049594.47,2)</f>
        <v>225049594.47</v>
      </c>
      <c r="E46" s="11">
        <f t="shared" si="10"/>
        <v>0</v>
      </c>
      <c r="F46" s="11">
        <f>ROUND(160487211.47,2)</f>
        <v>160487211.47</v>
      </c>
      <c r="G46" s="11">
        <f t="shared" si="7"/>
        <v>0</v>
      </c>
      <c r="H46" s="11">
        <f>ROUND(64562383,2)</f>
        <v>64562383</v>
      </c>
      <c r="I46" s="11">
        <f t="shared" si="11"/>
        <v>0</v>
      </c>
      <c r="J46" s="11">
        <f>ROUND(51034206.03,2)</f>
        <v>51034206.03</v>
      </c>
      <c r="K46" s="11">
        <f t="shared" si="16"/>
        <v>0</v>
      </c>
      <c r="L46" s="11">
        <f>ROUND(36983790.84,2)</f>
        <v>36983790.84</v>
      </c>
      <c r="M46" s="11">
        <f t="shared" si="15"/>
        <v>0</v>
      </c>
      <c r="N46" s="11">
        <f>ROUND(14050415.19,2)</f>
        <v>14050415.19</v>
      </c>
      <c r="O46" s="11">
        <f t="shared" si="17"/>
        <v>0</v>
      </c>
    </row>
    <row r="47" spans="1:15" ht="23.25">
      <c r="A47" s="9" t="s">
        <v>165</v>
      </c>
      <c r="B47" s="10" t="s">
        <v>159</v>
      </c>
      <c r="C47" s="10" t="s">
        <v>137</v>
      </c>
      <c r="D47" s="11">
        <f>ROUND(160892500,2)</f>
        <v>160892500</v>
      </c>
      <c r="E47" s="11">
        <f t="shared" si="10"/>
        <v>0</v>
      </c>
      <c r="F47" s="11">
        <f>ROUND(136230220,2)</f>
        <v>136230220</v>
      </c>
      <c r="G47" s="11">
        <f t="shared" si="7"/>
        <v>0</v>
      </c>
      <c r="H47" s="11">
        <f>ROUND(24662280,2)</f>
        <v>24662280</v>
      </c>
      <c r="I47" s="11">
        <f t="shared" si="11"/>
        <v>0</v>
      </c>
      <c r="J47" s="11">
        <f>ROUND(37025644.53,2)</f>
        <v>37025644.53</v>
      </c>
      <c r="K47" s="11">
        <f t="shared" si="16"/>
        <v>0</v>
      </c>
      <c r="L47" s="11">
        <f>ROUND(32294991.07,2)</f>
        <v>32294991.07</v>
      </c>
      <c r="M47" s="11">
        <f t="shared" si="15"/>
        <v>0</v>
      </c>
      <c r="N47" s="11">
        <f>ROUND(4730653.46,2)</f>
        <v>4730653.46</v>
      </c>
      <c r="O47" s="11">
        <f t="shared" si="17"/>
        <v>0</v>
      </c>
    </row>
    <row r="48" spans="1:15" ht="34.5">
      <c r="A48" s="9" t="s">
        <v>50</v>
      </c>
      <c r="B48" s="10" t="s">
        <v>10</v>
      </c>
      <c r="C48" s="10" t="s">
        <v>171</v>
      </c>
      <c r="D48" s="11">
        <f>ROUND(15426499,2)</f>
        <v>15426499</v>
      </c>
      <c r="E48" s="11">
        <f t="shared" si="10"/>
        <v>0</v>
      </c>
      <c r="F48" s="11">
        <f>ROUND(1724900,2)</f>
        <v>1724900</v>
      </c>
      <c r="G48" s="11">
        <f t="shared" si="7"/>
        <v>0</v>
      </c>
      <c r="H48" s="11">
        <f>ROUND(13701599,2)</f>
        <v>13701599</v>
      </c>
      <c r="I48" s="11">
        <f t="shared" si="11"/>
        <v>0</v>
      </c>
      <c r="J48" s="11">
        <f>ROUND(2938940.82,2)</f>
        <v>2938940.82</v>
      </c>
      <c r="K48" s="11">
        <f t="shared" si="16"/>
        <v>0</v>
      </c>
      <c r="L48" s="11">
        <f>ROUND(512167.77,2)</f>
        <v>512167.77</v>
      </c>
      <c r="M48" s="11">
        <f t="shared" si="15"/>
        <v>0</v>
      </c>
      <c r="N48" s="11">
        <f>ROUND(2426773.05,2)</f>
        <v>2426773.05</v>
      </c>
      <c r="O48" s="11">
        <f t="shared" si="17"/>
        <v>0</v>
      </c>
    </row>
    <row r="49" spans="1:15" ht="23.25">
      <c r="A49" s="9" t="s">
        <v>9</v>
      </c>
      <c r="B49" s="10" t="s">
        <v>172</v>
      </c>
      <c r="C49" s="10" t="s">
        <v>24</v>
      </c>
      <c r="D49" s="11">
        <f>ROUND(48730595.47,2)</f>
        <v>48730595.47</v>
      </c>
      <c r="E49" s="11">
        <f t="shared" si="10"/>
        <v>0</v>
      </c>
      <c r="F49" s="11">
        <f>ROUND(22532091.47,2)</f>
        <v>22532091.47</v>
      </c>
      <c r="G49" s="11">
        <f t="shared" si="7"/>
        <v>0</v>
      </c>
      <c r="H49" s="11">
        <f>ROUND(26198504,2)</f>
        <v>26198504</v>
      </c>
      <c r="I49" s="11">
        <f t="shared" si="11"/>
        <v>0</v>
      </c>
      <c r="J49" s="11">
        <f>ROUND(11069620.68,2)</f>
        <v>11069620.68</v>
      </c>
      <c r="K49" s="11">
        <f t="shared" si="16"/>
        <v>0</v>
      </c>
      <c r="L49" s="11">
        <f>ROUND(4176632,2)</f>
        <v>4176632</v>
      </c>
      <c r="M49" s="11">
        <f t="shared" si="15"/>
        <v>0</v>
      </c>
      <c r="N49" s="11">
        <f>ROUND(6892988.68,2)</f>
        <v>6892988.68</v>
      </c>
      <c r="O49" s="11">
        <f t="shared" si="17"/>
        <v>0</v>
      </c>
    </row>
    <row r="50" spans="1:15" ht="68.25">
      <c r="A50" s="9" t="s">
        <v>25</v>
      </c>
      <c r="B50" s="10" t="s">
        <v>104</v>
      </c>
      <c r="C50" s="10" t="s">
        <v>66</v>
      </c>
      <c r="D50" s="11">
        <f>ROUND(71916798.17,2)</f>
        <v>71916798.17</v>
      </c>
      <c r="E50" s="11">
        <f t="shared" si="10"/>
        <v>0</v>
      </c>
      <c r="F50" s="11">
        <f>ROUND(29628877.17,2)</f>
        <v>29628877.17</v>
      </c>
      <c r="G50" s="11">
        <f t="shared" si="7"/>
        <v>0</v>
      </c>
      <c r="H50" s="11">
        <f>ROUND(42287921,2)</f>
        <v>42287921</v>
      </c>
      <c r="I50" s="11">
        <f t="shared" si="11"/>
        <v>0</v>
      </c>
      <c r="J50" s="11">
        <f>ROUND(19303297.53,2)</f>
        <v>19303297.53</v>
      </c>
      <c r="K50" s="11">
        <f t="shared" si="16"/>
        <v>0</v>
      </c>
      <c r="L50" s="11">
        <f>ROUND(6882137.72,2)</f>
        <v>6882137.72</v>
      </c>
      <c r="M50" s="11">
        <f t="shared" si="15"/>
        <v>0</v>
      </c>
      <c r="N50" s="11">
        <f>ROUND(12421159.81,2)</f>
        <v>12421159.81</v>
      </c>
      <c r="O50" s="11">
        <f t="shared" si="17"/>
        <v>0</v>
      </c>
    </row>
    <row r="51" spans="1:15" ht="45.75">
      <c r="A51" s="9" t="s">
        <v>99</v>
      </c>
      <c r="B51" s="10" t="s">
        <v>49</v>
      </c>
      <c r="C51" s="10" t="s">
        <v>60</v>
      </c>
      <c r="D51" s="11">
        <f>ROUND(42870837.47,2)</f>
        <v>42870837.47</v>
      </c>
      <c r="E51" s="11">
        <f t="shared" si="10"/>
        <v>0</v>
      </c>
      <c r="F51" s="11">
        <f>ROUND(19541891.47,2)</f>
        <v>19541891.47</v>
      </c>
      <c r="G51" s="11">
        <f t="shared" si="7"/>
        <v>0</v>
      </c>
      <c r="H51" s="11">
        <f>ROUND(23328946,2)</f>
        <v>23328946</v>
      </c>
      <c r="I51" s="11">
        <f t="shared" si="11"/>
        <v>0</v>
      </c>
      <c r="J51" s="11">
        <f>ROUND(10196024.86,2)</f>
        <v>10196024.86</v>
      </c>
      <c r="K51" s="11">
        <f t="shared" si="16"/>
        <v>0</v>
      </c>
      <c r="L51" s="11">
        <f>ROUND(3790712.86,2)</f>
        <v>3790712.86</v>
      </c>
      <c r="M51" s="11">
        <f t="shared" si="15"/>
        <v>0</v>
      </c>
      <c r="N51" s="11">
        <f>ROUND(6405312,2)</f>
        <v>6405312</v>
      </c>
      <c r="O51" s="11">
        <f t="shared" si="17"/>
        <v>0</v>
      </c>
    </row>
    <row r="52" spans="1:15" ht="23.25">
      <c r="A52" s="9" t="s">
        <v>4</v>
      </c>
      <c r="B52" s="10"/>
      <c r="C52" s="10" t="s">
        <v>161</v>
      </c>
      <c r="D52" s="11">
        <f>ROUND(9695249.37,2)</f>
        <v>9695249.37</v>
      </c>
      <c r="E52" s="11">
        <f t="shared" si="10"/>
        <v>0</v>
      </c>
      <c r="F52" s="11">
        <f>ROUND(1403207.37,2)</f>
        <v>1403207.37</v>
      </c>
      <c r="G52" s="11">
        <f t="shared" si="7"/>
        <v>0</v>
      </c>
      <c r="H52" s="11">
        <f>ROUND(8292042,2)</f>
        <v>8292042</v>
      </c>
      <c r="I52" s="11">
        <f t="shared" si="11"/>
        <v>0</v>
      </c>
      <c r="J52" s="11">
        <f>ROUND(2563387.86,2)</f>
        <v>2563387.86</v>
      </c>
      <c r="K52" s="11">
        <f t="shared" si="16"/>
        <v>0</v>
      </c>
      <c r="L52" s="11">
        <f>ROUND(296976.3,2)</f>
        <v>296976.3</v>
      </c>
      <c r="M52" s="11">
        <f t="shared" si="15"/>
        <v>0</v>
      </c>
      <c r="N52" s="11">
        <f>ROUND(2266411.56,2)</f>
        <v>2266411.56</v>
      </c>
      <c r="O52" s="11">
        <f t="shared" si="17"/>
        <v>0</v>
      </c>
    </row>
    <row r="53" spans="1:15" ht="23.25">
      <c r="A53" s="9" t="s">
        <v>113</v>
      </c>
      <c r="B53" s="10"/>
      <c r="C53" s="10" t="s">
        <v>40</v>
      </c>
      <c r="D53" s="11">
        <f>ROUND(22003412.7,2)</f>
        <v>22003412.7</v>
      </c>
      <c r="E53" s="11">
        <f t="shared" si="10"/>
        <v>0</v>
      </c>
      <c r="F53" s="11">
        <f>ROUND(15767900.7,2)</f>
        <v>15767900.7</v>
      </c>
      <c r="G53" s="11">
        <f t="shared" si="7"/>
        <v>0</v>
      </c>
      <c r="H53" s="11">
        <f>ROUND(6235512,2)</f>
        <v>6235512</v>
      </c>
      <c r="I53" s="11">
        <f t="shared" si="11"/>
        <v>0</v>
      </c>
      <c r="J53" s="11">
        <f>ROUND(4838233.18,2)</f>
        <v>4838233.18</v>
      </c>
      <c r="K53" s="11">
        <f t="shared" si="16"/>
        <v>0</v>
      </c>
      <c r="L53" s="11">
        <f>ROUND(2731104.48,2)</f>
        <v>2731104.48</v>
      </c>
      <c r="M53" s="11">
        <f t="shared" si="15"/>
        <v>0</v>
      </c>
      <c r="N53" s="11">
        <f>ROUND(2107128.7,2)</f>
        <v>2107128.7</v>
      </c>
      <c r="O53" s="11">
        <f t="shared" si="17"/>
        <v>0</v>
      </c>
    </row>
    <row r="54" spans="1:15" ht="12.75">
      <c r="A54" s="9" t="s">
        <v>34</v>
      </c>
      <c r="B54" s="10"/>
      <c r="C54" s="10" t="s">
        <v>27</v>
      </c>
      <c r="D54" s="11">
        <f>ROUND(11172175.4,2)</f>
        <v>11172175.4</v>
      </c>
      <c r="E54" s="11">
        <f t="shared" si="10"/>
        <v>0</v>
      </c>
      <c r="F54" s="11">
        <f>ROUND(2370783.4,2)</f>
        <v>2370783.4</v>
      </c>
      <c r="G54" s="11">
        <f t="shared" si="7"/>
        <v>0</v>
      </c>
      <c r="H54" s="11">
        <f>ROUND(8801392,2)</f>
        <v>8801392</v>
      </c>
      <c r="I54" s="11">
        <f t="shared" si="11"/>
        <v>0</v>
      </c>
      <c r="J54" s="11">
        <f>ROUND(2794403.82,2)</f>
        <v>2794403.82</v>
      </c>
      <c r="K54" s="11">
        <f t="shared" si="16"/>
        <v>0</v>
      </c>
      <c r="L54" s="11">
        <f>ROUND(762632.08,2)</f>
        <v>762632.08</v>
      </c>
      <c r="M54" s="11">
        <f t="shared" si="15"/>
        <v>0</v>
      </c>
      <c r="N54" s="11">
        <f>ROUND(2031771.74,2)</f>
        <v>2031771.74</v>
      </c>
      <c r="O54" s="11">
        <f t="shared" si="17"/>
        <v>0</v>
      </c>
    </row>
    <row r="55" spans="1:15" ht="45.75">
      <c r="A55" s="9" t="s">
        <v>88</v>
      </c>
      <c r="B55" s="10" t="s">
        <v>130</v>
      </c>
      <c r="C55" s="10" t="s">
        <v>54</v>
      </c>
      <c r="D55" s="11">
        <f>ROUND(14277662.63,2)</f>
        <v>14277662.63</v>
      </c>
      <c r="E55" s="11">
        <f t="shared" si="10"/>
        <v>0</v>
      </c>
      <c r="F55" s="11">
        <f>ROUND(7044023.63,2)</f>
        <v>7044023.63</v>
      </c>
      <c r="G55" s="11">
        <f t="shared" si="7"/>
        <v>0</v>
      </c>
      <c r="H55" s="11">
        <f>ROUND(7233639,2)</f>
        <v>7233639</v>
      </c>
      <c r="I55" s="11">
        <f t="shared" si="11"/>
        <v>0</v>
      </c>
      <c r="J55" s="11">
        <f>ROUND(2664372.35,2)</f>
        <v>2664372.35</v>
      </c>
      <c r="K55" s="11">
        <f t="shared" si="16"/>
        <v>0</v>
      </c>
      <c r="L55" s="11">
        <f>ROUND(982426.91,2)</f>
        <v>982426.91</v>
      </c>
      <c r="M55" s="11">
        <f t="shared" si="15"/>
        <v>0</v>
      </c>
      <c r="N55" s="11">
        <f>ROUND(1681945.44,2)</f>
        <v>1681945.44</v>
      </c>
      <c r="O55" s="11">
        <f t="shared" si="17"/>
        <v>0</v>
      </c>
    </row>
    <row r="56" spans="1:15" ht="23.25">
      <c r="A56" s="9" t="s">
        <v>19</v>
      </c>
      <c r="B56" s="10"/>
      <c r="C56" s="10" t="s">
        <v>161</v>
      </c>
      <c r="D56" s="11">
        <f>ROUND(2933147.63,2)</f>
        <v>2933147.63</v>
      </c>
      <c r="E56" s="11">
        <f t="shared" si="10"/>
        <v>0</v>
      </c>
      <c r="F56" s="11">
        <f>ROUND(426792.63,2)</f>
        <v>426792.63</v>
      </c>
      <c r="G56" s="11">
        <f t="shared" si="7"/>
        <v>0</v>
      </c>
      <c r="H56" s="11">
        <f>ROUND(2506355,2)</f>
        <v>2506355</v>
      </c>
      <c r="I56" s="11">
        <f t="shared" si="11"/>
        <v>0</v>
      </c>
      <c r="J56" s="11">
        <f>ROUND(664852.64,2)</f>
        <v>664852.64</v>
      </c>
      <c r="K56" s="11">
        <f t="shared" si="16"/>
        <v>0</v>
      </c>
      <c r="L56" s="11">
        <f>ROUND(43501.63,2)</f>
        <v>43501.63</v>
      </c>
      <c r="M56" s="11">
        <f t="shared" si="15"/>
        <v>0</v>
      </c>
      <c r="N56" s="11">
        <f>ROUND(621351.01,2)</f>
        <v>621351.01</v>
      </c>
      <c r="O56" s="11">
        <f t="shared" si="17"/>
        <v>0</v>
      </c>
    </row>
    <row r="57" spans="1:15" ht="23.25">
      <c r="A57" s="9" t="s">
        <v>91</v>
      </c>
      <c r="B57" s="10"/>
      <c r="C57" s="10" t="s">
        <v>40</v>
      </c>
      <c r="D57" s="11">
        <f>ROUND(7010980,2)</f>
        <v>7010980</v>
      </c>
      <c r="E57" s="11">
        <f t="shared" si="10"/>
        <v>0</v>
      </c>
      <c r="F57" s="11">
        <f>ROUND(5159431,2)</f>
        <v>5159431</v>
      </c>
      <c r="G57" s="11">
        <f t="shared" si="7"/>
        <v>0</v>
      </c>
      <c r="H57" s="11">
        <f>ROUND(1851549,2)</f>
        <v>1851549</v>
      </c>
      <c r="I57" s="11">
        <f t="shared" si="11"/>
        <v>0</v>
      </c>
      <c r="J57" s="11">
        <f>ROUND(1274114.86,2)</f>
        <v>1274114.86</v>
      </c>
      <c r="K57" s="11">
        <f t="shared" si="16"/>
        <v>0</v>
      </c>
      <c r="L57" s="11">
        <f>ROUND(769105.88,2)</f>
        <v>769105.88</v>
      </c>
      <c r="M57" s="11">
        <f t="shared" si="15"/>
        <v>0</v>
      </c>
      <c r="N57" s="11">
        <f>ROUND(505008.98,2)</f>
        <v>505008.98</v>
      </c>
      <c r="O57" s="11">
        <f t="shared" si="17"/>
        <v>0</v>
      </c>
    </row>
    <row r="58" spans="1:15" ht="12.75">
      <c r="A58" s="9" t="s">
        <v>15</v>
      </c>
      <c r="B58" s="10"/>
      <c r="C58" s="10" t="s">
        <v>27</v>
      </c>
      <c r="D58" s="11">
        <f>ROUND(4333535,2)</f>
        <v>4333535</v>
      </c>
      <c r="E58" s="11">
        <f t="shared" si="10"/>
        <v>0</v>
      </c>
      <c r="F58" s="11">
        <f>ROUND(1457800,2)</f>
        <v>1457800</v>
      </c>
      <c r="G58" s="11">
        <f t="shared" si="7"/>
        <v>0</v>
      </c>
      <c r="H58" s="11">
        <f>ROUND(2875735,2)</f>
        <v>2875735</v>
      </c>
      <c r="I58" s="11">
        <f t="shared" si="11"/>
        <v>0</v>
      </c>
      <c r="J58" s="11">
        <f>ROUND(725404.85,2)</f>
        <v>725404.85</v>
      </c>
      <c r="K58" s="11">
        <f t="shared" si="16"/>
        <v>0</v>
      </c>
      <c r="L58" s="11">
        <f>ROUND(169819.4,2)</f>
        <v>169819.4</v>
      </c>
      <c r="M58" s="11">
        <f t="shared" si="15"/>
        <v>0</v>
      </c>
      <c r="N58" s="11">
        <f>ROUND(555585.45,2)</f>
        <v>555585.45</v>
      </c>
      <c r="O58" s="11">
        <f t="shared" si="17"/>
        <v>0</v>
      </c>
    </row>
    <row r="59" spans="14:15" ht="12.75">
      <c r="N59" s="2" t="s">
        <v>124</v>
      </c>
      <c r="O59" s="3"/>
    </row>
    <row r="60" spans="3:15" ht="24" customHeight="1">
      <c r="C60" s="12" t="s">
        <v>174</v>
      </c>
      <c r="D60" s="13"/>
      <c r="E60" s="13"/>
      <c r="F60" s="14"/>
      <c r="G60" s="7"/>
      <c r="H60" s="3"/>
      <c r="I60" s="3"/>
      <c r="J60" s="3"/>
      <c r="K60" s="15" t="s">
        <v>175</v>
      </c>
      <c r="L60" s="16"/>
      <c r="N60" s="7"/>
      <c r="O60" s="3"/>
    </row>
    <row r="61" spans="3:15" ht="12.75">
      <c r="C61" s="6"/>
      <c r="D61" s="3"/>
      <c r="E61" s="3"/>
      <c r="F61" s="3"/>
      <c r="G61" s="6"/>
      <c r="H61" s="3"/>
      <c r="I61" s="3"/>
      <c r="J61" s="3"/>
      <c r="K61" s="2"/>
      <c r="L61" s="3"/>
      <c r="N61" s="6"/>
      <c r="O61" s="3"/>
    </row>
    <row r="62" spans="3:15" ht="25.5" customHeight="1">
      <c r="C62" s="12" t="s">
        <v>176</v>
      </c>
      <c r="D62" s="13"/>
      <c r="E62" s="13"/>
      <c r="F62" s="14"/>
      <c r="G62" s="7"/>
      <c r="H62" s="3"/>
      <c r="I62" s="3"/>
      <c r="J62" s="3"/>
      <c r="K62" s="15" t="s">
        <v>177</v>
      </c>
      <c r="L62" s="16"/>
      <c r="N62" s="7"/>
      <c r="O62" s="3"/>
    </row>
  </sheetData>
  <mergeCells count="25">
    <mergeCell ref="C62:F62"/>
    <mergeCell ref="G62:J62"/>
    <mergeCell ref="K62:L62"/>
    <mergeCell ref="C60:F60"/>
    <mergeCell ref="G60:J60"/>
    <mergeCell ref="K60:L60"/>
    <mergeCell ref="C61:F61"/>
    <mergeCell ref="G61:J61"/>
    <mergeCell ref="K61:L61"/>
    <mergeCell ref="N59:O59"/>
    <mergeCell ref="N60:O60"/>
    <mergeCell ref="N61:O61"/>
    <mergeCell ref="N62:O62"/>
    <mergeCell ref="N1:O1"/>
    <mergeCell ref="N2:O2"/>
    <mergeCell ref="N3:O3"/>
    <mergeCell ref="I1:L1"/>
    <mergeCell ref="I2:L2"/>
    <mergeCell ref="I3:L3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65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2012-04-12T06:52:59Z</dcterms:created>
  <dcterms:modified xsi:type="dcterms:W3CDTF">2012-04-12T06:52:59Z</dcterms:modified>
  <cp:category/>
  <cp:version/>
  <cp:contentType/>
  <cp:contentStatus/>
</cp:coreProperties>
</file>