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<sst xmlns="http://schemas.openxmlformats.org/spreadsheetml/2006/main" count="468" uniqueCount="463">
  <si>
    <t>1,1817</t>
  </si>
  <si>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</si>
  <si>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</si>
  <si>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</si>
  <si>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</si>
  <si>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</si>
  <si>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</si>
  <si>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1,1485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</si>
  <si>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</si>
  <si>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</si>
  <si>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</si>
  <si>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</si>
  <si>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</si>
  <si>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</si>
  <si>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</si>
  <si>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</si>
  <si>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</si>
  <si>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</si>
  <si>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1,869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</si>
  <si>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</si>
  <si>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</si>
  <si>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</si>
  <si>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</si>
  <si>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</si>
  <si>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000  2  19  00000  00  0000  000</t>
  </si>
  <si>
    <t>ПРОЧИЕ НЕНАЛОГОВЫЕ ДОХОДЫ</t>
  </si>
  <si>
    <t>000  2  02  02077  05  0000  151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</si>
  <si>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</si>
  <si>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</si>
  <si>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</si>
  <si>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</si>
  <si>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</si>
  <si>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</si>
  <si>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</si>
  <si>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</si>
  <si>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</si>
  <si>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</si>
  <si>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</si>
  <si>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</si>
  <si>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</si>
  <si>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</si>
  <si>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</si>
  <si>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</si>
  <si>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</si>
  <si>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</si>
  <si>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</si>
  <si>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</si>
  <si>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</si>
  <si>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</si>
  <si>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</si>
  <si>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</si>
  <si>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</si>
  <si>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</si>
  <si>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</si>
  <si>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1,1481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</si>
  <si>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</si>
  <si>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</si>
  <si>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</si>
  <si>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</si>
  <si>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</si>
  <si>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</si>
  <si>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</si>
  <si>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</si>
  <si>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</si>
  <si>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</si>
  <si>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</si>
  <si>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1,2107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</si>
  <si>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</si>
  <si>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</si>
  <si>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</si>
  <si>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</si>
  <si>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</si>
  <si>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</si>
  <si>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</si>
  <si>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</si>
  <si>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</si>
  <si>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</si>
  <si>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</si>
  <si>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</si>
  <si>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000  2  02  03021  00  0000  151</t>
  </si>
  <si>
    <t>000  1  05  03020  01  0000  110</t>
  </si>
  <si>
    <t>1,1487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</si>
  <si>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</si>
  <si>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</si>
  <si>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</si>
  <si>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</si>
  <si>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</si>
  <si>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</si>
  <si>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</si>
  <si>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1,1468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</si>
  <si>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</si>
  <si>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</si>
  <si>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</si>
  <si>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</si>
  <si>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</si>
  <si>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</si>
  <si>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</si>
  <si>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1,2168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</si>
  <si>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</si>
  <si>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</si>
  <si>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</si>
  <si>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</si>
  <si>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</si>
  <si>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</si>
  <si>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</si>
  <si>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</si>
  <si>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</si>
  <si>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</si>
  <si>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</si>
  <si>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</si>
  <si>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</si>
  <si>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1,1386</t>
  </si>
  <si>
    <t>Государственная пошлина по делам, рассматриваемым в судах общей юрисдикции, мировыми судьями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</si>
  <si>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</si>
  <si>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</si>
  <si>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</si>
  <si>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</si>
  <si>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000  1  06  06010  00  0000  110</t>
  </si>
  <si>
    <t>1,877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</si>
  <si>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</si>
  <si>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</si>
  <si>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</si>
  <si>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</si>
  <si>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000  1  16  25000  00  0000  140</t>
  </si>
  <si>
    <t>1,1044</t>
  </si>
  <si>
    <t>1,546</t>
  </si>
  <si>
    <t>1,268</t>
  </si>
  <si>
    <t>000  1  06  01030  10  0000  110</t>
  </si>
  <si>
    <t>1,117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</si>
  <si>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</si>
  <si>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</si>
  <si>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</si>
  <si>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</si>
  <si>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</si>
  <si>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1,1390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</si>
  <si>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</si>
  <si>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</si>
  <si>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</si>
  <si>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</si>
  <si>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</si>
  <si>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</si>
  <si>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</si>
  <si>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000  2  07  00000  00  0000  180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</si>
  <si>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</si>
  <si>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</si>
  <si>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</si>
  <si>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</si>
  <si>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</si>
  <si>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000  1  16  30030  01  0000  140</t>
  </si>
  <si>
    <t>8  8 Городские и сельские поселения План на год</t>
  </si>
  <si>
    <t>1,1239</t>
  </si>
  <si>
    <t>1,249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</si>
  <si>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</si>
  <si>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</si>
  <si>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</si>
  <si>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</si>
  <si>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</si>
  <si>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</si>
  <si>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</si>
  <si>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</si>
  <si>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</si>
  <si>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000  1  14  02050  05  0000  410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</si>
  <si>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</si>
  <si>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</si>
  <si>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</si>
  <si>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</si>
  <si>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</si>
  <si>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</si>
  <si>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</si>
  <si>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</si>
  <si>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</si>
  <si>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</si>
  <si>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Единый налог на вмененный доход для отдельных видов деятельности</t>
  </si>
  <si>
    <t>Невыясненные поступления, зачисляемые в бюджеты муниципальных районов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</si>
  <si>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</si>
  <si>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</si>
  <si>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</si>
  <si>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</si>
  <si>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</si>
  <si>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</si>
  <si>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</si>
  <si>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</si>
  <si>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</si>
  <si>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</si>
  <si>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</si>
  <si>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</si>
  <si>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Прочие доходы от оказания платных услуг (работ) получателями средств бюджетов муниципальных районов</t>
  </si>
  <si>
    <t>1,1392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</si>
  <si>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</si>
  <si>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</si>
  <si>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</si>
  <si>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</si>
  <si>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1,1726</t>
  </si>
  <si>
    <t>000  2  02  01003  05  0000  151</t>
  </si>
  <si>
    <t>000  1  16  25010  01  0000  140</t>
  </si>
  <si>
    <t>Земельный налог (по обязательствам, возникшим до 1 января 2006 года)</t>
  </si>
  <si>
    <t>Налоги на имущество</t>
  </si>
  <si>
    <t>1,1497</t>
  </si>
  <si>
    <t>1,716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</si>
  <si>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</si>
  <si>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</si>
  <si>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</si>
  <si>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</si>
  <si>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</si>
  <si>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</si>
  <si>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</si>
  <si>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</si>
  <si>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</si>
  <si>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</si>
  <si>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</si>
  <si>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</si>
  <si>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</si>
  <si>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</si>
  <si>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</si>
  <si>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</si>
  <si>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</si>
  <si>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</si>
  <si>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</si>
  <si>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</si>
  <si>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</si>
  <si>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</si>
  <si>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Дотации бюджетам поселений на выравнивание бюджетной обеспеченности</t>
  </si>
  <si>
    <t>1,1373</t>
  </si>
  <si>
    <t>1,20</t>
  </si>
  <si>
    <t>1,1749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</si>
  <si>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</si>
  <si>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</si>
  <si>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</si>
  <si>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</si>
  <si>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</si>
  <si>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</si>
  <si>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</si>
  <si>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</si>
  <si>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</si>
  <si>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</si>
  <si>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000  2  02  03999  05  0000  151</t>
  </si>
  <si>
    <t>1,258</t>
  </si>
  <si>
    <t>ШТРАФЫ, САНКЦИИ, ВОЗМЕЩЕНИЕ УЩЕРБА</t>
  </si>
  <si>
    <t>000  1  05  02020  02  0000  110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</si>
  <si>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</si>
  <si>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</si>
  <si>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</si>
  <si>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</si>
  <si>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</si>
  <si>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</si>
  <si>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</si>
  <si>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</si>
  <si>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</si>
  <si>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</si>
  <si>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</si>
  <si>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</si>
  <si>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000  1  17  05050  05  0000  180</t>
  </si>
  <si>
    <t>1,1692</t>
  </si>
  <si>
    <t>1,964</t>
  </si>
  <si>
    <t>Невыясненные поступления</t>
  </si>
  <si>
    <t>1,1812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</si>
  <si>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</si>
  <si>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</si>
  <si>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</si>
  <si>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</si>
  <si>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</si>
  <si>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</si>
  <si>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</si>
  <si>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</si>
  <si>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</si>
  <si>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1,1816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</si>
  <si>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</si>
  <si>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</si>
  <si>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</si>
  <si>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</si>
  <si>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</si>
  <si>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</si>
  <si>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</si>
  <si>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</si>
  <si>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</si>
  <si>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</si>
  <si>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Прочие денежные взыскания (штрафы) за  правонарушения в области дорожного движения</t>
  </si>
  <si>
    <t>1,666</t>
  </si>
  <si>
    <t>1,148</t>
  </si>
  <si>
    <t>000  1  13  01995  05  0000  130</t>
  </si>
  <si>
    <t>1,572</t>
  </si>
  <si>
    <t>000  1  12  01040  01  0000  120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</si>
  <si>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</si>
  <si>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</si>
  <si>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</si>
  <si>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</si>
  <si>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</si>
  <si>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</si>
  <si>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</si>
  <si>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</si>
  <si>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</si>
  <si>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1,1521</t>
  </si>
  <si>
    <t>000  1  16  25050  01  0000  140</t>
  </si>
  <si>
    <t>Денежные взыскания (штрафы) за правонарушения в области дорожного движения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</si>
  <si>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</si>
  <si>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</si>
  <si>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</si>
  <si>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</si>
  <si>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</si>
  <si>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</si>
  <si>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</si>
  <si>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</si>
  <si>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</si>
  <si>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</si>
  <si>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</si>
  <si>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</si>
  <si>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</si>
  <si>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</si>
  <si>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</si>
  <si>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</si>
  <si>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</si>
  <si>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</si>
  <si>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</si>
  <si>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</si>
  <si>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</si>
  <si>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</si>
  <si>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1,1500</t>
  </si>
  <si>
    <t>000  1  06  06023  10  0000  110</t>
  </si>
  <si>
    <t>1,104</t>
  </si>
  <si>
    <t>Плата за негативное воздействие на окружающую среду</t>
  </si>
  <si>
    <t>1,947</t>
  </si>
  <si>
    <t>1,2106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</si>
  <si>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</si>
  <si>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</si>
  <si>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</si>
  <si>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1,1694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</si>
  <si>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</si>
  <si>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1,1463</t>
  </si>
  <si>
    <t xml:space="preserve"> </t>
  </si>
  <si>
    <t>000  2  02  03020  00  0000  151</t>
  </si>
  <si>
    <t>1,121</t>
  </si>
  <si>
    <t>000  1  08  04000  01  0000  110</t>
  </si>
  <si>
    <t>000  1  09  01000  00  0000  110</t>
  </si>
  <si>
    <t>1,1744</t>
  </si>
  <si>
    <t>1,1518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</si>
  <si>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</si>
  <si>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</si>
  <si>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</si>
  <si>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</si>
  <si>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000  1  06  06020  00  0000  110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</si>
  <si>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</si>
  <si>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</si>
  <si>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</si>
  <si>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</si>
  <si>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</si>
  <si>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</si>
  <si>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1,2096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</si>
  <si>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</si>
  <si>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</si>
  <si>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</si>
  <si>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</si>
  <si>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</si>
  <si>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1,619</t>
  </si>
  <si>
    <t>1,1721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</si>
  <si>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</si>
  <si>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</si>
  <si>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</si>
  <si>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</si>
  <si>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</si>
  <si>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1,405</t>
  </si>
  <si>
    <t>000  2  02  04999  05  0000  151</t>
  </si>
  <si>
    <t>1,1490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</si>
  <si>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</si>
  <si>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</si>
  <si>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</si>
  <si>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1,1045</t>
  </si>
  <si>
    <t>1,1725</t>
  </si>
  <si>
    <t>1,1688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</si>
  <si>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</si>
  <si>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</si>
  <si>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</si>
  <si>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</si>
  <si>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</si>
  <si>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</si>
  <si>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</si>
  <si>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000  1  16  30000  01  0000  140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</si>
  <si>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</si>
  <si>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</si>
  <si>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</si>
  <si>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</si>
  <si>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</si>
  <si>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</si>
  <si>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</si>
  <si>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</si>
  <si>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</si>
  <si>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</si>
  <si>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1,1391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</si>
  <si>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</si>
  <si>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</si>
  <si>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</si>
  <si>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</si>
  <si>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</si>
  <si>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</si>
  <si>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</si>
  <si>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</si>
  <si>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</si>
  <si>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</si>
  <si>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</si>
  <si>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</si>
  <si>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</si>
  <si>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</si>
  <si>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</si>
  <si>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</si>
  <si>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</si>
  <si>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</si>
  <si>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1,1043</t>
  </si>
  <si>
    <t>Код показателя</t>
  </si>
  <si>
    <t>000  2  07  05000  05  0000  180</t>
  </si>
  <si>
    <t>1,655</t>
  </si>
  <si>
    <t>1,409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</si>
  <si>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</si>
  <si>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</si>
  <si>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</si>
  <si>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</si>
  <si>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</si>
  <si>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</si>
  <si>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1,1748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</si>
  <si>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</si>
  <si>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</si>
  <si>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</si>
  <si>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</si>
  <si>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</si>
  <si>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</si>
  <si>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</si>
  <si>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</si>
  <si>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</si>
  <si>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1,84</t>
  </si>
  <si>
    <t>000  1  11  00000  00  0000  000</t>
  </si>
  <si>
    <t>000  1  01  02040  01  0000  110</t>
  </si>
  <si>
    <t>000  1  09  00000  00  0000  000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</si>
  <si>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</si>
  <si>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</si>
  <si>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</si>
  <si>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</si>
  <si>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</si>
  <si>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</si>
  <si>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</si>
  <si>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</si>
  <si>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</si>
  <si>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</si>
  <si>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</si>
  <si>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</si>
  <si>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</si>
  <si>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</si>
  <si>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</si>
  <si>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</si>
  <si>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</si>
  <si>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</si>
  <si>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1,611</t>
  </si>
  <si>
    <t>1,1729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</si>
  <si>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</si>
  <si>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</si>
  <si>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</si>
  <si>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</si>
  <si>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</si>
  <si>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</si>
  <si>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1,2173</t>
  </si>
  <si>
    <t>1,1727</t>
  </si>
  <si>
    <t>Доходы бюджета - отчет НА 01.05.2012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</si>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</sst>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60" workbookViewId="0" topLeftCell="A138">
      <selection activeCell="G169" sqref="G169"/>
    </sheetView>
  </sheetViews>
  <sheetFormatPr defaultColWidth="9.140625" defaultRowHeight="12.75"/>
  <cols>
    <col min="1" max="1" width="6.8515625" style="0" customWidth="1"/>
    <col min="2" max="2" width="29.7109375" style="0" customWidth="1"/>
    <col min="3" max="3" width="19.8515625" style="0" customWidth="1"/>
    <col min="4" max="4" width="14.28125" style="0" customWidth="1"/>
    <col min="5" max="5" width="14.7109375" style="0" customWidth="1"/>
    <col min="6" max="6" width="15.57421875" style="0" customWidth="1"/>
    <col min="7" max="7" width="14.00390625" style="0" customWidth="1"/>
    <col min="8" max="8" width="14.421875" style="0" customWidth="1"/>
    <col min="9" max="9" width="13.7109375" style="0" customWidth="1"/>
    <col min="10" max="10" width="14.57421875" style="0" customWidth="1"/>
    <col min="11" max="11" width="14.8515625" style="0" customWidth="1"/>
  </cols>
  <sheetData>
    <row r="1" spans="1:11" ht="12.75">
      <c r="A1" s="2"/>
      <c r="B1" s="3"/>
      <c r="C1" s="3"/>
      <c r="D1" s="3"/>
      <c r="E1" s="4" t="s">
        <v>305</v>
      </c>
      <c r="F1" s="3"/>
      <c r="G1" s="3"/>
      <c r="H1" s="3"/>
      <c r="I1" s="5" t="s">
        <v>394</v>
      </c>
      <c r="J1" s="3"/>
      <c r="K1" s="3"/>
    </row>
    <row r="2" spans="1:11" ht="12.75">
      <c r="A2" s="2"/>
      <c r="B2" s="3"/>
      <c r="C2" s="3"/>
      <c r="D2" s="3"/>
      <c r="E2" s="11" t="s">
        <v>458</v>
      </c>
      <c r="F2" s="3"/>
      <c r="G2" s="3"/>
      <c r="H2" s="3"/>
      <c r="I2" s="5" t="s">
        <v>230</v>
      </c>
      <c r="J2" s="3"/>
      <c r="K2" s="3"/>
    </row>
    <row r="3" spans="1:11" ht="12.75">
      <c r="A3" s="2"/>
      <c r="B3" s="3"/>
      <c r="C3" s="3"/>
      <c r="D3" s="3"/>
      <c r="E3" s="4" t="s">
        <v>2</v>
      </c>
      <c r="F3" s="3"/>
      <c r="G3" s="3"/>
      <c r="H3" s="3"/>
      <c r="I3" s="2" t="s">
        <v>328</v>
      </c>
      <c r="J3" s="3"/>
      <c r="K3" s="3"/>
    </row>
    <row r="4" spans="1:11" ht="72">
      <c r="A4" s="1" t="s">
        <v>90</v>
      </c>
      <c r="B4" s="1" t="s">
        <v>406</v>
      </c>
      <c r="C4" s="1" t="s">
        <v>266</v>
      </c>
      <c r="D4" s="1" t="s">
        <v>226</v>
      </c>
      <c r="E4" s="1" t="s">
        <v>138</v>
      </c>
      <c r="F4" s="1" t="s">
        <v>75</v>
      </c>
      <c r="G4" s="1" t="s">
        <v>149</v>
      </c>
      <c r="H4" s="1" t="s">
        <v>41</v>
      </c>
      <c r="I4" s="1" t="s">
        <v>323</v>
      </c>
      <c r="J4" s="1" t="s">
        <v>12</v>
      </c>
      <c r="K4" s="1" t="s">
        <v>74</v>
      </c>
    </row>
    <row r="5" spans="1:11" ht="25.5">
      <c r="A5" s="8" t="s">
        <v>393</v>
      </c>
      <c r="B5" s="9" t="s">
        <v>312</v>
      </c>
      <c r="C5" s="9" t="s">
        <v>273</v>
      </c>
      <c r="D5" s="10">
        <f>ROUND(935543073.49,2)</f>
        <v>935543073.49</v>
      </c>
      <c r="E5" s="10">
        <f>ROUND(95768216,2)</f>
        <v>95768216</v>
      </c>
      <c r="F5" s="10">
        <f>ROUND(844336193,2)</f>
        <v>844336193</v>
      </c>
      <c r="G5" s="10">
        <f>ROUND(186975096.49,2)</f>
        <v>186975096.49</v>
      </c>
      <c r="H5" s="10">
        <f>ROUND(197463710.66,2)</f>
        <v>197463710.66</v>
      </c>
      <c r="I5" s="10">
        <f>ROUND(17339350.86,2)</f>
        <v>17339350.86</v>
      </c>
      <c r="J5" s="10">
        <f>ROUND(167834609.56,2)</f>
        <v>167834609.56</v>
      </c>
      <c r="K5" s="10">
        <f>ROUND(46968451.96,2)</f>
        <v>46968451.96</v>
      </c>
    </row>
    <row r="6" spans="1:11" ht="38.25">
      <c r="A6" s="8" t="s">
        <v>181</v>
      </c>
      <c r="B6" s="9" t="s">
        <v>62</v>
      </c>
      <c r="C6" s="9" t="s">
        <v>272</v>
      </c>
      <c r="D6" s="10">
        <f>ROUND(172828941.49,2)</f>
        <v>172828941.49</v>
      </c>
      <c r="E6" s="10">
        <f aca="true" t="shared" si="0" ref="E6:E37">ROUND(0,2)</f>
        <v>0</v>
      </c>
      <c r="F6" s="10">
        <f>ROUND(95608900,2)</f>
        <v>95608900</v>
      </c>
      <c r="G6" s="10">
        <f>ROUND(77220041.49,2)</f>
        <v>77220041.49</v>
      </c>
      <c r="H6" s="10">
        <f>ROUND(56522967.11,2)</f>
        <v>56522967.11</v>
      </c>
      <c r="I6" s="10">
        <f aca="true" t="shared" si="1" ref="I6:I37">ROUND(0,2)</f>
        <v>0</v>
      </c>
      <c r="J6" s="10">
        <f>ROUND(31433471.18,2)</f>
        <v>31433471.18</v>
      </c>
      <c r="K6" s="10">
        <f>ROUND(25089495.93,2)</f>
        <v>25089495.93</v>
      </c>
    </row>
    <row r="7" spans="1:11" ht="25.5">
      <c r="A7" s="8" t="s">
        <v>436</v>
      </c>
      <c r="B7" s="9" t="s">
        <v>349</v>
      </c>
      <c r="C7" s="9" t="s">
        <v>435</v>
      </c>
      <c r="D7" s="10">
        <f>ROUND(73693573,2)</f>
        <v>73693573</v>
      </c>
      <c r="E7" s="10">
        <f t="shared" si="0"/>
        <v>0</v>
      </c>
      <c r="F7" s="10">
        <f>ROUND(61323500,2)</f>
        <v>61323500</v>
      </c>
      <c r="G7" s="10">
        <f>ROUND(12370073,2)</f>
        <v>12370073</v>
      </c>
      <c r="H7" s="10">
        <f>ROUND(26665647.14,2)</f>
        <v>26665647.14</v>
      </c>
      <c r="I7" s="10">
        <f t="shared" si="1"/>
        <v>0</v>
      </c>
      <c r="J7" s="10">
        <f>ROUND(22146045.89,2)</f>
        <v>22146045.89</v>
      </c>
      <c r="K7" s="10">
        <f>ROUND(4519601.25,2)</f>
        <v>4519601.25</v>
      </c>
    </row>
    <row r="8" spans="1:11" ht="25.5">
      <c r="A8" s="8" t="s">
        <v>246</v>
      </c>
      <c r="B8" s="9" t="s">
        <v>70</v>
      </c>
      <c r="C8" s="9" t="s">
        <v>245</v>
      </c>
      <c r="D8" s="10">
        <f>ROUND(73693573,2)</f>
        <v>73693573</v>
      </c>
      <c r="E8" s="10">
        <f t="shared" si="0"/>
        <v>0</v>
      </c>
      <c r="F8" s="10">
        <f>ROUND(61323500,2)</f>
        <v>61323500</v>
      </c>
      <c r="G8" s="10">
        <f>ROUND(12370073,2)</f>
        <v>12370073</v>
      </c>
      <c r="H8" s="10">
        <f>ROUND(26665647.14,2)</f>
        <v>26665647.14</v>
      </c>
      <c r="I8" s="10">
        <f t="shared" si="1"/>
        <v>0</v>
      </c>
      <c r="J8" s="10">
        <f>ROUND(22146045.89,2)</f>
        <v>22146045.89</v>
      </c>
      <c r="K8" s="10">
        <f>ROUND(4519601.25,2)</f>
        <v>4519601.25</v>
      </c>
    </row>
    <row r="9" spans="1:11" ht="204">
      <c r="A9" s="8" t="s">
        <v>65</v>
      </c>
      <c r="B9" s="9" t="s">
        <v>177</v>
      </c>
      <c r="C9" s="9" t="s">
        <v>162</v>
      </c>
      <c r="D9" s="10">
        <f>ROUND(71900216,2)</f>
        <v>71900216</v>
      </c>
      <c r="E9" s="10">
        <f t="shared" si="0"/>
        <v>0</v>
      </c>
      <c r="F9" s="10">
        <f>ROUND(60617900,2)</f>
        <v>60617900</v>
      </c>
      <c r="G9" s="10">
        <f>ROUND(11282316,2)</f>
        <v>11282316</v>
      </c>
      <c r="H9" s="10">
        <f>ROUND(26490447.08,2)</f>
        <v>26490447.08</v>
      </c>
      <c r="I9" s="10">
        <f t="shared" si="1"/>
        <v>0</v>
      </c>
      <c r="J9" s="10">
        <f>ROUND(22000540.77,2)</f>
        <v>22000540.77</v>
      </c>
      <c r="K9" s="10">
        <f>ROUND(4489906.31,2)</f>
        <v>4489906.31</v>
      </c>
    </row>
    <row r="10" spans="1:11" ht="306">
      <c r="A10" s="8" t="s">
        <v>256</v>
      </c>
      <c r="B10" s="9" t="s">
        <v>411</v>
      </c>
      <c r="C10" s="9" t="s">
        <v>137</v>
      </c>
      <c r="D10" s="10">
        <f>ROUND(1775657,2)</f>
        <v>1775657</v>
      </c>
      <c r="E10" s="10">
        <f t="shared" si="0"/>
        <v>0</v>
      </c>
      <c r="F10" s="10">
        <f>ROUND(695800,2)</f>
        <v>695800</v>
      </c>
      <c r="G10" s="10">
        <f>ROUND(1079857,2)</f>
        <v>1079857</v>
      </c>
      <c r="H10" s="10">
        <f>ROUND(137318.32,2)</f>
        <v>137318.32</v>
      </c>
      <c r="I10" s="10">
        <f t="shared" si="1"/>
        <v>0</v>
      </c>
      <c r="J10" s="10">
        <f>ROUND(114044.02,2)</f>
        <v>114044.02</v>
      </c>
      <c r="K10" s="10">
        <f>ROUND(23274.3,2)</f>
        <v>23274.3</v>
      </c>
    </row>
    <row r="11" spans="1:11" ht="114.75">
      <c r="A11" s="8" t="s">
        <v>55</v>
      </c>
      <c r="B11" s="9" t="s">
        <v>290</v>
      </c>
      <c r="C11" s="9" t="s">
        <v>42</v>
      </c>
      <c r="D11" s="10">
        <f>ROUND(10900,2)</f>
        <v>10900</v>
      </c>
      <c r="E11" s="10">
        <f t="shared" si="0"/>
        <v>0</v>
      </c>
      <c r="F11" s="10">
        <f>ROUND(4900,2)</f>
        <v>4900</v>
      </c>
      <c r="G11" s="10">
        <f>ROUND(6000,2)</f>
        <v>6000</v>
      </c>
      <c r="H11" s="10">
        <f>ROUND(26671.74,2)</f>
        <v>26671.74</v>
      </c>
      <c r="I11" s="10">
        <f t="shared" si="1"/>
        <v>0</v>
      </c>
      <c r="J11" s="10">
        <f>ROUND(22151.1,2)</f>
        <v>22151.1</v>
      </c>
      <c r="K11" s="10">
        <f>ROUND(4520.64,2)</f>
        <v>4520.64</v>
      </c>
    </row>
    <row r="12" spans="1:11" ht="267.75">
      <c r="A12" s="8" t="s">
        <v>223</v>
      </c>
      <c r="B12" s="9" t="s">
        <v>428</v>
      </c>
      <c r="C12" s="9" t="s">
        <v>418</v>
      </c>
      <c r="D12" s="10">
        <f>ROUND(6800,2)</f>
        <v>6800</v>
      </c>
      <c r="E12" s="10">
        <f t="shared" si="0"/>
        <v>0</v>
      </c>
      <c r="F12" s="10">
        <f>ROUND(4900,2)</f>
        <v>4900</v>
      </c>
      <c r="G12" s="10">
        <f>ROUND(1900,2)</f>
        <v>1900</v>
      </c>
      <c r="H12" s="10">
        <f>ROUND(11210,2)</f>
        <v>11210</v>
      </c>
      <c r="I12" s="10">
        <f t="shared" si="1"/>
        <v>0</v>
      </c>
      <c r="J12" s="10">
        <f>ROUND(9310,2)</f>
        <v>9310</v>
      </c>
      <c r="K12" s="10">
        <f>ROUND(1900,2)</f>
        <v>1900</v>
      </c>
    </row>
    <row r="13" spans="1:11" ht="25.5">
      <c r="A13" s="8" t="s">
        <v>426</v>
      </c>
      <c r="B13" s="9" t="s">
        <v>164</v>
      </c>
      <c r="C13" s="9" t="s">
        <v>69</v>
      </c>
      <c r="D13" s="10">
        <f>ROUND(11320877,2)</f>
        <v>11320877</v>
      </c>
      <c r="E13" s="10">
        <f t="shared" si="0"/>
        <v>0</v>
      </c>
      <c r="F13" s="10">
        <f>ROUND(9191430,2)</f>
        <v>9191430</v>
      </c>
      <c r="G13" s="10">
        <f>ROUND(2129447,2)</f>
        <v>2129447</v>
      </c>
      <c r="H13" s="10">
        <f>ROUND(4443333.45,2)</f>
        <v>4443333.45</v>
      </c>
      <c r="I13" s="10">
        <f t="shared" si="1"/>
        <v>0</v>
      </c>
      <c r="J13" s="10">
        <f>ROUND(3841299.84,2)</f>
        <v>3841299.84</v>
      </c>
      <c r="K13" s="10">
        <f>ROUND(602033.61,2)</f>
        <v>602033.61</v>
      </c>
    </row>
    <row r="14" spans="1:11" ht="51">
      <c r="A14" s="8" t="s">
        <v>51</v>
      </c>
      <c r="B14" s="9" t="s">
        <v>121</v>
      </c>
      <c r="C14" s="9" t="s">
        <v>172</v>
      </c>
      <c r="D14" s="10">
        <f>ROUND(8444138,2)</f>
        <v>8444138</v>
      </c>
      <c r="E14" s="10">
        <f t="shared" si="0"/>
        <v>0</v>
      </c>
      <c r="F14" s="10">
        <f>ROUND(7611000,2)</f>
        <v>7611000</v>
      </c>
      <c r="G14" s="10">
        <f>ROUND(833138,2)</f>
        <v>833138</v>
      </c>
      <c r="H14" s="10">
        <f>ROUND(3815492.01,2)</f>
        <v>3815492.01</v>
      </c>
      <c r="I14" s="10">
        <f t="shared" si="1"/>
        <v>0</v>
      </c>
      <c r="J14" s="10">
        <f>ROUND(3433792.91,2)</f>
        <v>3433792.91</v>
      </c>
      <c r="K14" s="10">
        <f>ROUND(381699.1,2)</f>
        <v>381699.1</v>
      </c>
    </row>
    <row r="15" spans="1:11" ht="51">
      <c r="A15" s="8" t="s">
        <v>244</v>
      </c>
      <c r="B15" s="9" t="s">
        <v>6</v>
      </c>
      <c r="C15" s="9" t="s">
        <v>172</v>
      </c>
      <c r="D15" s="10">
        <f>ROUND(7233116,2)</f>
        <v>7233116</v>
      </c>
      <c r="E15" s="10">
        <f t="shared" si="0"/>
        <v>0</v>
      </c>
      <c r="F15" s="10">
        <f>ROUND(6512100,2)</f>
        <v>6512100</v>
      </c>
      <c r="G15" s="10">
        <f>ROUND(721016,2)</f>
        <v>721016</v>
      </c>
      <c r="H15" s="10">
        <f>ROUND(3801999.2,2)</f>
        <v>3801999.2</v>
      </c>
      <c r="I15" s="10">
        <f t="shared" si="1"/>
        <v>0</v>
      </c>
      <c r="J15" s="10">
        <f>ROUND(3421799.29,2)</f>
        <v>3421799.29</v>
      </c>
      <c r="K15" s="10">
        <f>ROUND(380199.91,2)</f>
        <v>380199.91</v>
      </c>
    </row>
    <row r="16" spans="1:11" ht="89.25">
      <c r="A16" s="8" t="s">
        <v>38</v>
      </c>
      <c r="B16" s="9" t="s">
        <v>238</v>
      </c>
      <c r="C16" s="9" t="s">
        <v>169</v>
      </c>
      <c r="D16" s="10">
        <f>ROUND(1211022,2)</f>
        <v>1211022</v>
      </c>
      <c r="E16" s="10">
        <f t="shared" si="0"/>
        <v>0</v>
      </c>
      <c r="F16" s="10">
        <f>ROUND(1098900,2)</f>
        <v>1098900</v>
      </c>
      <c r="G16" s="10">
        <f>ROUND(112122,2)</f>
        <v>112122</v>
      </c>
      <c r="H16" s="10">
        <f>ROUND(13492.81,2)</f>
        <v>13492.81</v>
      </c>
      <c r="I16" s="10">
        <f t="shared" si="1"/>
        <v>0</v>
      </c>
      <c r="J16" s="10">
        <f>ROUND(11993.62,2)</f>
        <v>11993.62</v>
      </c>
      <c r="K16" s="10">
        <f>ROUND(1499.19,2)</f>
        <v>1499.19</v>
      </c>
    </row>
    <row r="17" spans="1:11" ht="38.25">
      <c r="A17" s="8" t="s">
        <v>299</v>
      </c>
      <c r="B17" s="9" t="s">
        <v>419</v>
      </c>
      <c r="C17" s="9" t="s">
        <v>11</v>
      </c>
      <c r="D17" s="10">
        <f>ROUND(2876739,2)</f>
        <v>2876739</v>
      </c>
      <c r="E17" s="10">
        <f t="shared" si="0"/>
        <v>0</v>
      </c>
      <c r="F17" s="10">
        <f>ROUND(1580430,2)</f>
        <v>1580430</v>
      </c>
      <c r="G17" s="10">
        <f>ROUND(1296309,2)</f>
        <v>1296309</v>
      </c>
      <c r="H17" s="10">
        <f>ROUND(627841.44,2)</f>
        <v>627841.44</v>
      </c>
      <c r="I17" s="10">
        <f t="shared" si="1"/>
        <v>0</v>
      </c>
      <c r="J17" s="10">
        <f>ROUND(407506.93,2)</f>
        <v>407506.93</v>
      </c>
      <c r="K17" s="10">
        <f>ROUND(220334.51,2)</f>
        <v>220334.51</v>
      </c>
    </row>
    <row r="18" spans="1:11" ht="38.25">
      <c r="A18" s="8" t="s">
        <v>107</v>
      </c>
      <c r="B18" s="9" t="s">
        <v>295</v>
      </c>
      <c r="C18" s="9" t="s">
        <v>11</v>
      </c>
      <c r="D18" s="10">
        <f>ROUND(2819069,2)</f>
        <v>2819069</v>
      </c>
      <c r="E18" s="10">
        <f t="shared" si="0"/>
        <v>0</v>
      </c>
      <c r="F18" s="10">
        <f>ROUND(1522860,2)</f>
        <v>1522860</v>
      </c>
      <c r="G18" s="10">
        <f>ROUND(1296209,2)</f>
        <v>1296209</v>
      </c>
      <c r="H18" s="10">
        <f>ROUND(663241.47,2)</f>
        <v>663241.47</v>
      </c>
      <c r="I18" s="10">
        <f t="shared" si="1"/>
        <v>0</v>
      </c>
      <c r="J18" s="10">
        <f>ROUND(431106.96,2)</f>
        <v>431106.96</v>
      </c>
      <c r="K18" s="10">
        <f>ROUND(232134.51,2)</f>
        <v>232134.51</v>
      </c>
    </row>
    <row r="19" spans="1:11" ht="76.5">
      <c r="A19" s="8" t="s">
        <v>240</v>
      </c>
      <c r="B19" s="9" t="s">
        <v>80</v>
      </c>
      <c r="C19" s="9" t="s">
        <v>363</v>
      </c>
      <c r="D19" s="10">
        <f>ROUND(57670,2)</f>
        <v>57670</v>
      </c>
      <c r="E19" s="10">
        <f t="shared" si="0"/>
        <v>0</v>
      </c>
      <c r="F19" s="10">
        <f>ROUND(57570,2)</f>
        <v>57570</v>
      </c>
      <c r="G19" s="10">
        <f>ROUND(100,2)</f>
        <v>100</v>
      </c>
      <c r="H19" s="10">
        <f>ROUND(-35400.03,2)</f>
        <v>-35400.03</v>
      </c>
      <c r="I19" s="10">
        <f t="shared" si="1"/>
        <v>0</v>
      </c>
      <c r="J19" s="10">
        <f>ROUND(-23600.03,2)</f>
        <v>-23600.03</v>
      </c>
      <c r="K19" s="10">
        <f>ROUND(-11800,2)</f>
        <v>-11800</v>
      </c>
    </row>
    <row r="20" spans="1:11" ht="25.5">
      <c r="A20" s="8" t="s">
        <v>33</v>
      </c>
      <c r="B20" s="9" t="s">
        <v>190</v>
      </c>
      <c r="C20" s="9" t="s">
        <v>384</v>
      </c>
      <c r="D20" s="10">
        <f>ROUND(45825721,2)</f>
        <v>45825721</v>
      </c>
      <c r="E20" s="10">
        <f t="shared" si="0"/>
        <v>0</v>
      </c>
      <c r="F20" s="10">
        <f aca="true" t="shared" si="2" ref="F20:F27">ROUND(0,2)</f>
        <v>0</v>
      </c>
      <c r="G20" s="10">
        <f>ROUND(45825721,2)</f>
        <v>45825721</v>
      </c>
      <c r="H20" s="10">
        <f>ROUND(16202135.69,2)</f>
        <v>16202135.69</v>
      </c>
      <c r="I20" s="10">
        <f t="shared" si="1"/>
        <v>0</v>
      </c>
      <c r="J20" s="10">
        <f aca="true" t="shared" si="3" ref="J20:J27">ROUND(0,2)</f>
        <v>0</v>
      </c>
      <c r="K20" s="10">
        <f>ROUND(16202135.69,2)</f>
        <v>16202135.69</v>
      </c>
    </row>
    <row r="21" spans="1:11" ht="25.5">
      <c r="A21" s="8" t="s">
        <v>318</v>
      </c>
      <c r="B21" s="9" t="s">
        <v>130</v>
      </c>
      <c r="C21" s="9" t="s">
        <v>103</v>
      </c>
      <c r="D21" s="10">
        <f>ROUND(1663855,2)</f>
        <v>1663855</v>
      </c>
      <c r="E21" s="10">
        <f t="shared" si="0"/>
        <v>0</v>
      </c>
      <c r="F21" s="10">
        <f t="shared" si="2"/>
        <v>0</v>
      </c>
      <c r="G21" s="10">
        <f>ROUND(1663855,2)</f>
        <v>1663855</v>
      </c>
      <c r="H21" s="10">
        <f>ROUND(399880.22,2)</f>
        <v>399880.22</v>
      </c>
      <c r="I21" s="10">
        <f t="shared" si="1"/>
        <v>0</v>
      </c>
      <c r="J21" s="10">
        <f t="shared" si="3"/>
        <v>0</v>
      </c>
      <c r="K21" s="10">
        <f>ROUND(399880.22,2)</f>
        <v>399880.22</v>
      </c>
    </row>
    <row r="22" spans="1:11" ht="114.75">
      <c r="A22" s="8" t="s">
        <v>268</v>
      </c>
      <c r="B22" s="9" t="s">
        <v>127</v>
      </c>
      <c r="C22" s="9" t="s">
        <v>233</v>
      </c>
      <c r="D22" s="10">
        <f>ROUND(1663855,2)</f>
        <v>1663855</v>
      </c>
      <c r="E22" s="10">
        <f t="shared" si="0"/>
        <v>0</v>
      </c>
      <c r="F22" s="10">
        <f t="shared" si="2"/>
        <v>0</v>
      </c>
      <c r="G22" s="10">
        <f>ROUND(1663855,2)</f>
        <v>1663855</v>
      </c>
      <c r="H22" s="10">
        <f>ROUND(399880.22,2)</f>
        <v>399880.22</v>
      </c>
      <c r="I22" s="10">
        <f t="shared" si="1"/>
        <v>0</v>
      </c>
      <c r="J22" s="10">
        <f t="shared" si="3"/>
        <v>0</v>
      </c>
      <c r="K22" s="10">
        <f>ROUND(399880.22,2)</f>
        <v>399880.22</v>
      </c>
    </row>
    <row r="23" spans="1:11" ht="25.5">
      <c r="A23" s="8" t="s">
        <v>392</v>
      </c>
      <c r="B23" s="9" t="s">
        <v>9</v>
      </c>
      <c r="C23" s="9" t="s">
        <v>441</v>
      </c>
      <c r="D23" s="10">
        <f>ROUND(44161866,2)</f>
        <v>44161866</v>
      </c>
      <c r="E23" s="10">
        <f t="shared" si="0"/>
        <v>0</v>
      </c>
      <c r="F23" s="10">
        <f t="shared" si="2"/>
        <v>0</v>
      </c>
      <c r="G23" s="10">
        <f>ROUND(44161866,2)</f>
        <v>44161866</v>
      </c>
      <c r="H23" s="10">
        <f>ROUND(15802255.47,2)</f>
        <v>15802255.47</v>
      </c>
      <c r="I23" s="10">
        <f t="shared" si="1"/>
        <v>0</v>
      </c>
      <c r="J23" s="10">
        <f t="shared" si="3"/>
        <v>0</v>
      </c>
      <c r="K23" s="10">
        <f>ROUND(15802255.47,2)</f>
        <v>15802255.47</v>
      </c>
    </row>
    <row r="24" spans="1:11" ht="127.5">
      <c r="A24" s="8" t="s">
        <v>128</v>
      </c>
      <c r="B24" s="9" t="s">
        <v>117</v>
      </c>
      <c r="C24" s="9" t="s">
        <v>284</v>
      </c>
      <c r="D24" s="10">
        <f>ROUND(13578429,2)</f>
        <v>13578429</v>
      </c>
      <c r="E24" s="10">
        <f t="shared" si="0"/>
        <v>0</v>
      </c>
      <c r="F24" s="10">
        <f t="shared" si="2"/>
        <v>0</v>
      </c>
      <c r="G24" s="10">
        <f>ROUND(13578429,2)</f>
        <v>13578429</v>
      </c>
      <c r="H24" s="10">
        <f>ROUND(2800459.86,2)</f>
        <v>2800459.86</v>
      </c>
      <c r="I24" s="10">
        <f t="shared" si="1"/>
        <v>0</v>
      </c>
      <c r="J24" s="10">
        <f t="shared" si="3"/>
        <v>0</v>
      </c>
      <c r="K24" s="10">
        <f>ROUND(2800459.86,2)</f>
        <v>2800459.86</v>
      </c>
    </row>
    <row r="25" spans="1:11" ht="191.25">
      <c r="A25" s="8" t="s">
        <v>330</v>
      </c>
      <c r="B25" s="9" t="s">
        <v>95</v>
      </c>
      <c r="C25" s="9" t="s">
        <v>439</v>
      </c>
      <c r="D25" s="10">
        <f>ROUND(13578429,2)</f>
        <v>13578429</v>
      </c>
      <c r="E25" s="10">
        <f t="shared" si="0"/>
        <v>0</v>
      </c>
      <c r="F25" s="10">
        <f t="shared" si="2"/>
        <v>0</v>
      </c>
      <c r="G25" s="10">
        <f>ROUND(13578429,2)</f>
        <v>13578429</v>
      </c>
      <c r="H25" s="10">
        <f>ROUND(2800459.86,2)</f>
        <v>2800459.86</v>
      </c>
      <c r="I25" s="10">
        <f t="shared" si="1"/>
        <v>0</v>
      </c>
      <c r="J25" s="10">
        <f t="shared" si="3"/>
        <v>0</v>
      </c>
      <c r="K25" s="10">
        <f>ROUND(2800459.86,2)</f>
        <v>2800459.86</v>
      </c>
    </row>
    <row r="26" spans="1:11" ht="127.5">
      <c r="A26" s="8" t="s">
        <v>13</v>
      </c>
      <c r="B26" s="9" t="s">
        <v>339</v>
      </c>
      <c r="C26" s="9" t="s">
        <v>174</v>
      </c>
      <c r="D26" s="10">
        <f>ROUND(30583437,2)</f>
        <v>30583437</v>
      </c>
      <c r="E26" s="10">
        <f t="shared" si="0"/>
        <v>0</v>
      </c>
      <c r="F26" s="10">
        <f t="shared" si="2"/>
        <v>0</v>
      </c>
      <c r="G26" s="10">
        <f>ROUND(30583437,2)</f>
        <v>30583437</v>
      </c>
      <c r="H26" s="10">
        <f>ROUND(13001795.61,2)</f>
        <v>13001795.61</v>
      </c>
      <c r="I26" s="10">
        <f t="shared" si="1"/>
        <v>0</v>
      </c>
      <c r="J26" s="10">
        <f t="shared" si="3"/>
        <v>0</v>
      </c>
      <c r="K26" s="10">
        <f>ROUND(13001795.61,2)</f>
        <v>13001795.61</v>
      </c>
    </row>
    <row r="27" spans="1:11" ht="191.25">
      <c r="A27" s="8" t="s">
        <v>63</v>
      </c>
      <c r="B27" s="9" t="s">
        <v>317</v>
      </c>
      <c r="C27" s="9" t="s">
        <v>231</v>
      </c>
      <c r="D27" s="10">
        <f>ROUND(30583437,2)</f>
        <v>30583437</v>
      </c>
      <c r="E27" s="10">
        <f t="shared" si="0"/>
        <v>0</v>
      </c>
      <c r="F27" s="10">
        <f t="shared" si="2"/>
        <v>0</v>
      </c>
      <c r="G27" s="10">
        <f>ROUND(30583437,2)</f>
        <v>30583437</v>
      </c>
      <c r="H27" s="10">
        <f>ROUND(13001795.61,2)</f>
        <v>13001795.61</v>
      </c>
      <c r="I27" s="10">
        <f t="shared" si="1"/>
        <v>0</v>
      </c>
      <c r="J27" s="10">
        <f t="shared" si="3"/>
        <v>0</v>
      </c>
      <c r="K27" s="10">
        <f>ROUND(13001795.61,2)</f>
        <v>13001795.61</v>
      </c>
    </row>
    <row r="28" spans="1:11" ht="25.5">
      <c r="A28" s="8" t="s">
        <v>278</v>
      </c>
      <c r="B28" s="9" t="s">
        <v>104</v>
      </c>
      <c r="C28" s="9" t="s">
        <v>47</v>
      </c>
      <c r="D28" s="10">
        <f>ROUND(1320230,2)</f>
        <v>1320230</v>
      </c>
      <c r="E28" s="10">
        <f t="shared" si="0"/>
        <v>0</v>
      </c>
      <c r="F28" s="10">
        <f>ROUND(650000,2)</f>
        <v>650000</v>
      </c>
      <c r="G28" s="10">
        <f>ROUND(670230,2)</f>
        <v>670230</v>
      </c>
      <c r="H28" s="10">
        <f>ROUND(419625.31,2)</f>
        <v>419625.31</v>
      </c>
      <c r="I28" s="10">
        <f t="shared" si="1"/>
        <v>0</v>
      </c>
      <c r="J28" s="10">
        <f>ROUND(255200.31,2)</f>
        <v>255200.31</v>
      </c>
      <c r="K28" s="10">
        <f>ROUND(164425,2)</f>
        <v>164425</v>
      </c>
    </row>
    <row r="29" spans="1:11" ht="76.5">
      <c r="A29" s="8" t="s">
        <v>155</v>
      </c>
      <c r="B29" s="9" t="s">
        <v>249</v>
      </c>
      <c r="C29" s="9" t="s">
        <v>112</v>
      </c>
      <c r="D29" s="10">
        <f>ROUND(650000,2)</f>
        <v>650000</v>
      </c>
      <c r="E29" s="10">
        <f t="shared" si="0"/>
        <v>0</v>
      </c>
      <c r="F29" s="10">
        <f>ROUND(650000,2)</f>
        <v>650000</v>
      </c>
      <c r="G29" s="10">
        <f>ROUND(0,2)</f>
        <v>0</v>
      </c>
      <c r="H29" s="10">
        <f>ROUND(255200.31,2)</f>
        <v>255200.31</v>
      </c>
      <c r="I29" s="10">
        <f t="shared" si="1"/>
        <v>0</v>
      </c>
      <c r="J29" s="10">
        <f>ROUND(255200.31,2)</f>
        <v>255200.31</v>
      </c>
      <c r="K29" s="10">
        <f>ROUND(0,2)</f>
        <v>0</v>
      </c>
    </row>
    <row r="30" spans="1:11" ht="127.5">
      <c r="A30" s="8" t="s">
        <v>445</v>
      </c>
      <c r="B30" s="9" t="s">
        <v>345</v>
      </c>
      <c r="C30" s="9" t="s">
        <v>4</v>
      </c>
      <c r="D30" s="10">
        <f>ROUND(650000,2)</f>
        <v>650000</v>
      </c>
      <c r="E30" s="10">
        <f t="shared" si="0"/>
        <v>0</v>
      </c>
      <c r="F30" s="10">
        <f>ROUND(650000,2)</f>
        <v>650000</v>
      </c>
      <c r="G30" s="10">
        <f>ROUND(0,2)</f>
        <v>0</v>
      </c>
      <c r="H30" s="10">
        <f>ROUND(255200.31,2)</f>
        <v>255200.31</v>
      </c>
      <c r="I30" s="10">
        <f t="shared" si="1"/>
        <v>0</v>
      </c>
      <c r="J30" s="10">
        <f>ROUND(255200.31,2)</f>
        <v>255200.31</v>
      </c>
      <c r="K30" s="10">
        <f>ROUND(0,2)</f>
        <v>0</v>
      </c>
    </row>
    <row r="31" spans="1:11" ht="153">
      <c r="A31" s="8" t="s">
        <v>381</v>
      </c>
      <c r="B31" s="9" t="s">
        <v>331</v>
      </c>
      <c r="C31" s="9" t="s">
        <v>343</v>
      </c>
      <c r="D31" s="10">
        <f>ROUND(670230,2)</f>
        <v>670230</v>
      </c>
      <c r="E31" s="10">
        <f t="shared" si="0"/>
        <v>0</v>
      </c>
      <c r="F31" s="10">
        <f aca="true" t="shared" si="4" ref="F31:F40">ROUND(0,2)</f>
        <v>0</v>
      </c>
      <c r="G31" s="10">
        <f>ROUND(670230,2)</f>
        <v>670230</v>
      </c>
      <c r="H31" s="10">
        <f>ROUND(164425,2)</f>
        <v>164425</v>
      </c>
      <c r="I31" s="10">
        <f t="shared" si="1"/>
        <v>0</v>
      </c>
      <c r="J31" s="10">
        <f>ROUND(0,2)</f>
        <v>0</v>
      </c>
      <c r="K31" s="10">
        <f>ROUND(164425,2)</f>
        <v>164425</v>
      </c>
    </row>
    <row r="32" spans="1:11" ht="216.75">
      <c r="A32" s="8" t="s">
        <v>388</v>
      </c>
      <c r="B32" s="9" t="s">
        <v>17</v>
      </c>
      <c r="C32" s="9" t="s">
        <v>58</v>
      </c>
      <c r="D32" s="10">
        <f>ROUND(670230,2)</f>
        <v>670230</v>
      </c>
      <c r="E32" s="10">
        <f t="shared" si="0"/>
        <v>0</v>
      </c>
      <c r="F32" s="10">
        <f t="shared" si="4"/>
        <v>0</v>
      </c>
      <c r="G32" s="10">
        <f>ROUND(670230,2)</f>
        <v>670230</v>
      </c>
      <c r="H32" s="10">
        <f>ROUND(164425,2)</f>
        <v>164425</v>
      </c>
      <c r="I32" s="10">
        <f t="shared" si="1"/>
        <v>0</v>
      </c>
      <c r="J32" s="10">
        <f>ROUND(0,2)</f>
        <v>0</v>
      </c>
      <c r="K32" s="10">
        <f>ROUND(164425,2)</f>
        <v>164425</v>
      </c>
    </row>
    <row r="33" spans="1:11" ht="89.25">
      <c r="A33" s="8" t="s">
        <v>304</v>
      </c>
      <c r="B33" s="9" t="s">
        <v>429</v>
      </c>
      <c r="C33" s="9" t="s">
        <v>136</v>
      </c>
      <c r="D33" s="10">
        <f aca="true" t="shared" si="5" ref="D33:D40">ROUND(0,2)</f>
        <v>0</v>
      </c>
      <c r="E33" s="10">
        <f t="shared" si="0"/>
        <v>0</v>
      </c>
      <c r="F33" s="10">
        <f t="shared" si="4"/>
        <v>0</v>
      </c>
      <c r="G33" s="10">
        <f aca="true" t="shared" si="6" ref="G33:G40">ROUND(0,2)</f>
        <v>0</v>
      </c>
      <c r="H33" s="10">
        <f>ROUND(-5560.95,2)</f>
        <v>-5560.95</v>
      </c>
      <c r="I33" s="10">
        <f t="shared" si="1"/>
        <v>0</v>
      </c>
      <c r="J33" s="10">
        <f>ROUND(-5442.05,2)</f>
        <v>-5442.05</v>
      </c>
      <c r="K33" s="10">
        <f>ROUND(-118.9,2)</f>
        <v>-118.9</v>
      </c>
    </row>
    <row r="34" spans="1:11" ht="63.75">
      <c r="A34" s="8" t="s">
        <v>109</v>
      </c>
      <c r="B34" s="9" t="s">
        <v>332</v>
      </c>
      <c r="C34" s="9" t="s">
        <v>348</v>
      </c>
      <c r="D34" s="10">
        <f t="shared" si="5"/>
        <v>0</v>
      </c>
      <c r="E34" s="10">
        <f t="shared" si="0"/>
        <v>0</v>
      </c>
      <c r="F34" s="10">
        <f t="shared" si="4"/>
        <v>0</v>
      </c>
      <c r="G34" s="10">
        <f t="shared" si="6"/>
        <v>0</v>
      </c>
      <c r="H34" s="10">
        <f>ROUND(-5426.54,2)</f>
        <v>-5426.54</v>
      </c>
      <c r="I34" s="10">
        <f t="shared" si="1"/>
        <v>0</v>
      </c>
      <c r="J34" s="10">
        <f>ROUND(-5426.54,2)</f>
        <v>-5426.54</v>
      </c>
      <c r="K34" s="10">
        <f>ROUND(0,2)</f>
        <v>0</v>
      </c>
    </row>
    <row r="35" spans="1:11" ht="114.75">
      <c r="A35" s="8" t="s">
        <v>229</v>
      </c>
      <c r="B35" s="9" t="s">
        <v>154</v>
      </c>
      <c r="C35" s="9" t="s">
        <v>269</v>
      </c>
      <c r="D35" s="10">
        <f t="shared" si="5"/>
        <v>0</v>
      </c>
      <c r="E35" s="10">
        <f t="shared" si="0"/>
        <v>0</v>
      </c>
      <c r="F35" s="10">
        <f t="shared" si="4"/>
        <v>0</v>
      </c>
      <c r="G35" s="10">
        <f t="shared" si="6"/>
        <v>0</v>
      </c>
      <c r="H35" s="10">
        <f>ROUND(-5426.54,2)</f>
        <v>-5426.54</v>
      </c>
      <c r="I35" s="10">
        <f t="shared" si="1"/>
        <v>0</v>
      </c>
      <c r="J35" s="10">
        <f>ROUND(-5426.54,2)</f>
        <v>-5426.54</v>
      </c>
      <c r="K35" s="10">
        <f>ROUND(0,2)</f>
        <v>0</v>
      </c>
    </row>
    <row r="36" spans="1:11" ht="25.5">
      <c r="A36" s="8" t="s">
        <v>151</v>
      </c>
      <c r="B36" s="9" t="s">
        <v>218</v>
      </c>
      <c r="C36" s="9" t="s">
        <v>196</v>
      </c>
      <c r="D36" s="10">
        <f t="shared" si="5"/>
        <v>0</v>
      </c>
      <c r="E36" s="10">
        <f t="shared" si="0"/>
        <v>0</v>
      </c>
      <c r="F36" s="10">
        <f t="shared" si="4"/>
        <v>0</v>
      </c>
      <c r="G36" s="10">
        <f t="shared" si="6"/>
        <v>0</v>
      </c>
      <c r="H36" s="10">
        <f>ROUND(-118.9,2)</f>
        <v>-118.9</v>
      </c>
      <c r="I36" s="10">
        <f t="shared" si="1"/>
        <v>0</v>
      </c>
      <c r="J36" s="10">
        <f>ROUND(0,2)</f>
        <v>0</v>
      </c>
      <c r="K36" s="10">
        <f>ROUND(-118.9,2)</f>
        <v>-118.9</v>
      </c>
    </row>
    <row r="37" spans="1:11" ht="51">
      <c r="A37" s="8" t="s">
        <v>313</v>
      </c>
      <c r="B37" s="9" t="s">
        <v>447</v>
      </c>
      <c r="C37" s="9" t="s">
        <v>195</v>
      </c>
      <c r="D37" s="10">
        <f t="shared" si="5"/>
        <v>0</v>
      </c>
      <c r="E37" s="10">
        <f t="shared" si="0"/>
        <v>0</v>
      </c>
      <c r="F37" s="10">
        <f t="shared" si="4"/>
        <v>0</v>
      </c>
      <c r="G37" s="10">
        <f t="shared" si="6"/>
        <v>0</v>
      </c>
      <c r="H37" s="10">
        <f>ROUND(-118.9,2)</f>
        <v>-118.9</v>
      </c>
      <c r="I37" s="10">
        <f t="shared" si="1"/>
        <v>0</v>
      </c>
      <c r="J37" s="10">
        <f>ROUND(0,2)</f>
        <v>0</v>
      </c>
      <c r="K37" s="10">
        <f>ROUND(-118.9,2)</f>
        <v>-118.9</v>
      </c>
    </row>
    <row r="38" spans="1:11" ht="89.25">
      <c r="A38" s="8" t="s">
        <v>236</v>
      </c>
      <c r="B38" s="9" t="s">
        <v>227</v>
      </c>
      <c r="C38" s="9" t="s">
        <v>171</v>
      </c>
      <c r="D38" s="10">
        <f t="shared" si="5"/>
        <v>0</v>
      </c>
      <c r="E38" s="10">
        <f aca="true" t="shared" si="7" ref="E38:E69">ROUND(0,2)</f>
        <v>0</v>
      </c>
      <c r="F38" s="10">
        <f t="shared" si="4"/>
        <v>0</v>
      </c>
      <c r="G38" s="10">
        <f t="shared" si="6"/>
        <v>0</v>
      </c>
      <c r="H38" s="10">
        <f>ROUND(-118.9,2)</f>
        <v>-118.9</v>
      </c>
      <c r="I38" s="10">
        <f aca="true" t="shared" si="8" ref="I38:I69">ROUND(0,2)</f>
        <v>0</v>
      </c>
      <c r="J38" s="10">
        <f>ROUND(0,2)</f>
        <v>0</v>
      </c>
      <c r="K38" s="10">
        <f>ROUND(-118.9,2)</f>
        <v>-118.9</v>
      </c>
    </row>
    <row r="39" spans="1:11" ht="76.5">
      <c r="A39" s="8" t="s">
        <v>376</v>
      </c>
      <c r="B39" s="9" t="s">
        <v>49</v>
      </c>
      <c r="C39" s="9" t="s">
        <v>403</v>
      </c>
      <c r="D39" s="10">
        <f t="shared" si="5"/>
        <v>0</v>
      </c>
      <c r="E39" s="10">
        <f t="shared" si="7"/>
        <v>0</v>
      </c>
      <c r="F39" s="10">
        <f t="shared" si="4"/>
        <v>0</v>
      </c>
      <c r="G39" s="10">
        <f t="shared" si="6"/>
        <v>0</v>
      </c>
      <c r="H39" s="10">
        <f>ROUND(-15.51,2)</f>
        <v>-15.51</v>
      </c>
      <c r="I39" s="10">
        <f t="shared" si="8"/>
        <v>0</v>
      </c>
      <c r="J39" s="10">
        <f>ROUND(-15.51,2)</f>
        <v>-15.51</v>
      </c>
      <c r="K39" s="10">
        <f>ROUND(0,2)</f>
        <v>0</v>
      </c>
    </row>
    <row r="40" spans="1:11" ht="25.5">
      <c r="A40" s="8" t="s">
        <v>126</v>
      </c>
      <c r="B40" s="9" t="s">
        <v>157</v>
      </c>
      <c r="C40" s="9" t="s">
        <v>115</v>
      </c>
      <c r="D40" s="10">
        <f t="shared" si="5"/>
        <v>0</v>
      </c>
      <c r="E40" s="10">
        <f t="shared" si="7"/>
        <v>0</v>
      </c>
      <c r="F40" s="10">
        <f t="shared" si="4"/>
        <v>0</v>
      </c>
      <c r="G40" s="10">
        <f t="shared" si="6"/>
        <v>0</v>
      </c>
      <c r="H40" s="10">
        <f>ROUND(-15.51,2)</f>
        <v>-15.51</v>
      </c>
      <c r="I40" s="10">
        <f t="shared" si="8"/>
        <v>0</v>
      </c>
      <c r="J40" s="10">
        <f>ROUND(-15.51,2)</f>
        <v>-15.51</v>
      </c>
      <c r="K40" s="10">
        <f>ROUND(0,2)</f>
        <v>0</v>
      </c>
    </row>
    <row r="41" spans="1:11" ht="89.25">
      <c r="A41" s="8" t="s">
        <v>310</v>
      </c>
      <c r="B41" s="9" t="s">
        <v>427</v>
      </c>
      <c r="C41" s="9" t="s">
        <v>372</v>
      </c>
      <c r="D41" s="10">
        <f>ROUND(25411539.49,2)</f>
        <v>25411539.49</v>
      </c>
      <c r="E41" s="10">
        <f t="shared" si="7"/>
        <v>0</v>
      </c>
      <c r="F41" s="10">
        <f>ROUND(12333249,2)</f>
        <v>12333249</v>
      </c>
      <c r="G41" s="10">
        <f>ROUND(13078290.49,2)</f>
        <v>13078290.49</v>
      </c>
      <c r="H41" s="10">
        <f>ROUND(4653081.52,2)</f>
        <v>4653081.52</v>
      </c>
      <c r="I41" s="10">
        <f t="shared" si="8"/>
        <v>0</v>
      </c>
      <c r="J41" s="10">
        <f>ROUND(2376498.63,2)</f>
        <v>2376498.63</v>
      </c>
      <c r="K41" s="10">
        <f>ROUND(2276582.89,2)</f>
        <v>2276582.89</v>
      </c>
    </row>
    <row r="42" spans="1:11" ht="255">
      <c r="A42" s="8" t="s">
        <v>159</v>
      </c>
      <c r="B42" s="9" t="s">
        <v>404</v>
      </c>
      <c r="C42" s="9" t="s">
        <v>259</v>
      </c>
      <c r="D42" s="10">
        <f>ROUND(25411539.49,2)</f>
        <v>25411539.49</v>
      </c>
      <c r="E42" s="10">
        <f t="shared" si="7"/>
        <v>0</v>
      </c>
      <c r="F42" s="10">
        <f>ROUND(12333249,2)</f>
        <v>12333249</v>
      </c>
      <c r="G42" s="10">
        <f>ROUND(13078290.49,2)</f>
        <v>13078290.49</v>
      </c>
      <c r="H42" s="10">
        <f>ROUND(4653081.52,2)</f>
        <v>4653081.52</v>
      </c>
      <c r="I42" s="10">
        <f t="shared" si="8"/>
        <v>0</v>
      </c>
      <c r="J42" s="10">
        <f>ROUND(2376498.63,2)</f>
        <v>2376498.63</v>
      </c>
      <c r="K42" s="10">
        <f>ROUND(2276582.89,2)</f>
        <v>2276582.89</v>
      </c>
    </row>
    <row r="43" spans="1:11" ht="178.5">
      <c r="A43" s="8" t="s">
        <v>359</v>
      </c>
      <c r="B43" s="9" t="s">
        <v>285</v>
      </c>
      <c r="C43" s="9" t="s">
        <v>29</v>
      </c>
      <c r="D43" s="10">
        <f>ROUND(24738039.49,2)</f>
        <v>24738039.49</v>
      </c>
      <c r="E43" s="10">
        <f t="shared" si="7"/>
        <v>0</v>
      </c>
      <c r="F43" s="10">
        <f>ROUND(12073249,2)</f>
        <v>12073249</v>
      </c>
      <c r="G43" s="10">
        <f>ROUND(12664790.49,2)</f>
        <v>12664790.49</v>
      </c>
      <c r="H43" s="10">
        <f>ROUND(4312925.81,2)</f>
        <v>4312925.81</v>
      </c>
      <c r="I43" s="10">
        <f t="shared" si="8"/>
        <v>0</v>
      </c>
      <c r="J43" s="10">
        <f>ROUND(2156462.69,2)</f>
        <v>2156462.69</v>
      </c>
      <c r="K43" s="10">
        <f>ROUND(2156463.12,2)</f>
        <v>2156463.12</v>
      </c>
    </row>
    <row r="44" spans="1:11" ht="216.75">
      <c r="A44" s="8" t="s">
        <v>409</v>
      </c>
      <c r="B44" s="9" t="s">
        <v>374</v>
      </c>
      <c r="C44" s="9" t="s">
        <v>446</v>
      </c>
      <c r="D44" s="10">
        <f>ROUND(24738039.49,2)</f>
        <v>24738039.49</v>
      </c>
      <c r="E44" s="10">
        <f t="shared" si="7"/>
        <v>0</v>
      </c>
      <c r="F44" s="10">
        <f>ROUND(12073249,2)</f>
        <v>12073249</v>
      </c>
      <c r="G44" s="10">
        <f>ROUND(12664790.49,2)</f>
        <v>12664790.49</v>
      </c>
      <c r="H44" s="10">
        <f>ROUND(4312925.81,2)</f>
        <v>4312925.81</v>
      </c>
      <c r="I44" s="10">
        <f t="shared" si="8"/>
        <v>0</v>
      </c>
      <c r="J44" s="10">
        <f>ROUND(2156462.69,2)</f>
        <v>2156462.69</v>
      </c>
      <c r="K44" s="10">
        <f>ROUND(2156463.12,2)</f>
        <v>2156463.12</v>
      </c>
    </row>
    <row r="45" spans="1:11" ht="229.5">
      <c r="A45" s="8" t="s">
        <v>433</v>
      </c>
      <c r="B45" s="9" t="s">
        <v>184</v>
      </c>
      <c r="C45" s="9" t="s">
        <v>91</v>
      </c>
      <c r="D45" s="10">
        <f>ROUND(673500,2)</f>
        <v>673500</v>
      </c>
      <c r="E45" s="10">
        <f t="shared" si="7"/>
        <v>0</v>
      </c>
      <c r="F45" s="10">
        <f>ROUND(260000,2)</f>
        <v>260000</v>
      </c>
      <c r="G45" s="10">
        <f>ROUND(413500,2)</f>
        <v>413500</v>
      </c>
      <c r="H45" s="10">
        <f>ROUND(340155.71,2)</f>
        <v>340155.71</v>
      </c>
      <c r="I45" s="10">
        <f t="shared" si="8"/>
        <v>0</v>
      </c>
      <c r="J45" s="10">
        <f>ROUND(220035.94,2)</f>
        <v>220035.94</v>
      </c>
      <c r="K45" s="10">
        <f>ROUND(120119.77,2)</f>
        <v>120119.77</v>
      </c>
    </row>
    <row r="46" spans="1:11" ht="191.25">
      <c r="A46" s="8" t="s">
        <v>98</v>
      </c>
      <c r="B46" s="9" t="s">
        <v>179</v>
      </c>
      <c r="C46" s="9" t="s">
        <v>430</v>
      </c>
      <c r="D46" s="10">
        <f>ROUND(260000,2)</f>
        <v>260000</v>
      </c>
      <c r="E46" s="10">
        <f t="shared" si="7"/>
        <v>0</v>
      </c>
      <c r="F46" s="10">
        <f>ROUND(260000,2)</f>
        <v>260000</v>
      </c>
      <c r="G46" s="10">
        <f>ROUND(0,2)</f>
        <v>0</v>
      </c>
      <c r="H46" s="10">
        <f>ROUND(220035.94,2)</f>
        <v>220035.94</v>
      </c>
      <c r="I46" s="10">
        <f t="shared" si="8"/>
        <v>0</v>
      </c>
      <c r="J46" s="10">
        <f>ROUND(220035.94,2)</f>
        <v>220035.94</v>
      </c>
      <c r="K46" s="10">
        <f>ROUND(0,2)</f>
        <v>0</v>
      </c>
    </row>
    <row r="47" spans="1:11" ht="191.25">
      <c r="A47" s="8" t="s">
        <v>275</v>
      </c>
      <c r="B47" s="9" t="s">
        <v>443</v>
      </c>
      <c r="C47" s="9" t="s">
        <v>212</v>
      </c>
      <c r="D47" s="10">
        <f>ROUND(413500,2)</f>
        <v>413500</v>
      </c>
      <c r="E47" s="10">
        <f t="shared" si="7"/>
        <v>0</v>
      </c>
      <c r="F47" s="10">
        <f>ROUND(0,2)</f>
        <v>0</v>
      </c>
      <c r="G47" s="10">
        <f>ROUND(413500,2)</f>
        <v>413500</v>
      </c>
      <c r="H47" s="10">
        <f>ROUND(120119.77,2)</f>
        <v>120119.77</v>
      </c>
      <c r="I47" s="10">
        <f t="shared" si="8"/>
        <v>0</v>
      </c>
      <c r="J47" s="10">
        <f>ROUND(0,2)</f>
        <v>0</v>
      </c>
      <c r="K47" s="10">
        <f>ROUND(120119.77,2)</f>
        <v>120119.77</v>
      </c>
    </row>
    <row r="48" spans="1:11" ht="51">
      <c r="A48" s="8" t="s">
        <v>303</v>
      </c>
      <c r="B48" s="9" t="s">
        <v>370</v>
      </c>
      <c r="C48" s="9" t="s">
        <v>257</v>
      </c>
      <c r="D48" s="10">
        <f>ROUND(1100000,2)</f>
        <v>1100000</v>
      </c>
      <c r="E48" s="10">
        <f t="shared" si="7"/>
        <v>0</v>
      </c>
      <c r="F48" s="10">
        <f>ROUND(1100000,2)</f>
        <v>1100000</v>
      </c>
      <c r="G48" s="10">
        <f aca="true" t="shared" si="9" ref="G48:G54">ROUND(0,2)</f>
        <v>0</v>
      </c>
      <c r="H48" s="10">
        <f>ROUND(1020390.46,2)</f>
        <v>1020390.46</v>
      </c>
      <c r="I48" s="10">
        <f t="shared" si="8"/>
        <v>0</v>
      </c>
      <c r="J48" s="10">
        <f>ROUND(1020390.46,2)</f>
        <v>1020390.46</v>
      </c>
      <c r="K48" s="10">
        <f aca="true" t="shared" si="10" ref="K48:K54">ROUND(0,2)</f>
        <v>0</v>
      </c>
    </row>
    <row r="49" spans="1:11" ht="38.25">
      <c r="A49" s="8" t="s">
        <v>102</v>
      </c>
      <c r="B49" s="9" t="s">
        <v>146</v>
      </c>
      <c r="C49" s="9" t="s">
        <v>319</v>
      </c>
      <c r="D49" s="10">
        <f>ROUND(1100000,2)</f>
        <v>1100000</v>
      </c>
      <c r="E49" s="10">
        <f t="shared" si="7"/>
        <v>0</v>
      </c>
      <c r="F49" s="10">
        <f>ROUND(1100000,2)</f>
        <v>1100000</v>
      </c>
      <c r="G49" s="10">
        <f t="shared" si="9"/>
        <v>0</v>
      </c>
      <c r="H49" s="10">
        <f>ROUND(1020390.46,2)</f>
        <v>1020390.46</v>
      </c>
      <c r="I49" s="10">
        <f t="shared" si="8"/>
        <v>0</v>
      </c>
      <c r="J49" s="10">
        <f>ROUND(1020390.46,2)</f>
        <v>1020390.46</v>
      </c>
      <c r="K49" s="10">
        <f t="shared" si="10"/>
        <v>0</v>
      </c>
    </row>
    <row r="50" spans="1:11" ht="76.5">
      <c r="A50" s="8" t="s">
        <v>307</v>
      </c>
      <c r="B50" s="9" t="s">
        <v>39</v>
      </c>
      <c r="C50" s="9" t="s">
        <v>324</v>
      </c>
      <c r="D50" s="10">
        <f>ROUND(100000,2)</f>
        <v>100000</v>
      </c>
      <c r="E50" s="10">
        <f t="shared" si="7"/>
        <v>0</v>
      </c>
      <c r="F50" s="10">
        <f>ROUND(100000,2)</f>
        <v>100000</v>
      </c>
      <c r="G50" s="10">
        <f t="shared" si="9"/>
        <v>0</v>
      </c>
      <c r="H50" s="10">
        <f>ROUND(11918.33,2)</f>
        <v>11918.33</v>
      </c>
      <c r="I50" s="10">
        <f t="shared" si="8"/>
        <v>0</v>
      </c>
      <c r="J50" s="10">
        <f>ROUND(11918.33,2)</f>
        <v>11918.33</v>
      </c>
      <c r="K50" s="10">
        <f t="shared" si="10"/>
        <v>0</v>
      </c>
    </row>
    <row r="51" spans="1:11" ht="76.5">
      <c r="A51" s="8" t="s">
        <v>210</v>
      </c>
      <c r="B51" s="9" t="s">
        <v>264</v>
      </c>
      <c r="C51" s="9" t="s">
        <v>87</v>
      </c>
      <c r="D51" s="10">
        <f>ROUND(330000,2)</f>
        <v>330000</v>
      </c>
      <c r="E51" s="10">
        <f t="shared" si="7"/>
        <v>0</v>
      </c>
      <c r="F51" s="10">
        <f>ROUND(330000,2)</f>
        <v>330000</v>
      </c>
      <c r="G51" s="10">
        <f t="shared" si="9"/>
        <v>0</v>
      </c>
      <c r="H51" s="10">
        <f>ROUND(282058.33,2)</f>
        <v>282058.33</v>
      </c>
      <c r="I51" s="10">
        <f t="shared" si="8"/>
        <v>0</v>
      </c>
      <c r="J51" s="10">
        <f>ROUND(282058.33,2)</f>
        <v>282058.33</v>
      </c>
      <c r="K51" s="10">
        <f t="shared" si="10"/>
        <v>0</v>
      </c>
    </row>
    <row r="52" spans="1:11" ht="51">
      <c r="A52" s="8" t="s">
        <v>399</v>
      </c>
      <c r="B52" s="9" t="s">
        <v>373</v>
      </c>
      <c r="C52" s="9" t="s">
        <v>99</v>
      </c>
      <c r="D52" s="10">
        <f>ROUND(280000,2)</f>
        <v>280000</v>
      </c>
      <c r="E52" s="10">
        <f t="shared" si="7"/>
        <v>0</v>
      </c>
      <c r="F52" s="10">
        <f>ROUND(280000,2)</f>
        <v>280000</v>
      </c>
      <c r="G52" s="10">
        <f t="shared" si="9"/>
        <v>0</v>
      </c>
      <c r="H52" s="10">
        <f>ROUND(268979.39,2)</f>
        <v>268979.39</v>
      </c>
      <c r="I52" s="10">
        <f t="shared" si="8"/>
        <v>0</v>
      </c>
      <c r="J52" s="10">
        <f>ROUND(268979.39,2)</f>
        <v>268979.39</v>
      </c>
      <c r="K52" s="10">
        <f t="shared" si="10"/>
        <v>0</v>
      </c>
    </row>
    <row r="53" spans="1:11" ht="51">
      <c r="A53" s="8" t="s">
        <v>165</v>
      </c>
      <c r="B53" s="9" t="s">
        <v>281</v>
      </c>
      <c r="C53" s="9" t="s">
        <v>119</v>
      </c>
      <c r="D53" s="10">
        <f>ROUND(330000,2)</f>
        <v>330000</v>
      </c>
      <c r="E53" s="10">
        <f t="shared" si="7"/>
        <v>0</v>
      </c>
      <c r="F53" s="10">
        <f>ROUND(330000,2)</f>
        <v>330000</v>
      </c>
      <c r="G53" s="10">
        <f t="shared" si="9"/>
        <v>0</v>
      </c>
      <c r="H53" s="10">
        <f>ROUND(446468.38,2)</f>
        <v>446468.38</v>
      </c>
      <c r="I53" s="10">
        <f t="shared" si="8"/>
        <v>0</v>
      </c>
      <c r="J53" s="10">
        <f>ROUND(446468.38,2)</f>
        <v>446468.38</v>
      </c>
      <c r="K53" s="10">
        <f t="shared" si="10"/>
        <v>0</v>
      </c>
    </row>
    <row r="54" spans="1:11" ht="51">
      <c r="A54" s="8" t="s">
        <v>357</v>
      </c>
      <c r="B54" s="9" t="s">
        <v>387</v>
      </c>
      <c r="C54" s="9" t="s">
        <v>358</v>
      </c>
      <c r="D54" s="10">
        <f>ROUND(60000,2)</f>
        <v>60000</v>
      </c>
      <c r="E54" s="10">
        <f t="shared" si="7"/>
        <v>0</v>
      </c>
      <c r="F54" s="10">
        <f>ROUND(60000,2)</f>
        <v>60000</v>
      </c>
      <c r="G54" s="10">
        <f t="shared" si="9"/>
        <v>0</v>
      </c>
      <c r="H54" s="10">
        <f>ROUND(10966.03,2)</f>
        <v>10966.03</v>
      </c>
      <c r="I54" s="10">
        <f t="shared" si="8"/>
        <v>0</v>
      </c>
      <c r="J54" s="10">
        <f>ROUND(10966.03,2)</f>
        <v>10966.03</v>
      </c>
      <c r="K54" s="10">
        <f t="shared" si="10"/>
        <v>0</v>
      </c>
    </row>
    <row r="55" spans="1:11" ht="76.5">
      <c r="A55" s="8" t="s">
        <v>455</v>
      </c>
      <c r="B55" s="9" t="s">
        <v>16</v>
      </c>
      <c r="C55" s="9" t="s">
        <v>145</v>
      </c>
      <c r="D55" s="10">
        <f>ROUND(842970,2)</f>
        <v>842970</v>
      </c>
      <c r="E55" s="10">
        <f t="shared" si="7"/>
        <v>0</v>
      </c>
      <c r="F55" s="10">
        <f>ROUND(382970,2)</f>
        <v>382970</v>
      </c>
      <c r="G55" s="10">
        <f>ROUND(460000,2)</f>
        <v>460000</v>
      </c>
      <c r="H55" s="10">
        <f>ROUND(167372.49,2)</f>
        <v>167372.49</v>
      </c>
      <c r="I55" s="10">
        <f t="shared" si="8"/>
        <v>0</v>
      </c>
      <c r="J55" s="10">
        <f>ROUND(3230,2)</f>
        <v>3230</v>
      </c>
      <c r="K55" s="10">
        <f>ROUND(164142.49,2)</f>
        <v>164142.49</v>
      </c>
    </row>
    <row r="56" spans="1:11" ht="38.25">
      <c r="A56" s="8" t="s">
        <v>125</v>
      </c>
      <c r="B56" s="9" t="s">
        <v>301</v>
      </c>
      <c r="C56" s="9" t="s">
        <v>308</v>
      </c>
      <c r="D56" s="10">
        <f>ROUND(842970,2)</f>
        <v>842970</v>
      </c>
      <c r="E56" s="10">
        <f t="shared" si="7"/>
        <v>0</v>
      </c>
      <c r="F56" s="10">
        <f>ROUND(382970,2)</f>
        <v>382970</v>
      </c>
      <c r="G56" s="10">
        <f>ROUND(460000,2)</f>
        <v>460000</v>
      </c>
      <c r="H56" s="10">
        <f>ROUND(167372.49,2)</f>
        <v>167372.49</v>
      </c>
      <c r="I56" s="10">
        <f t="shared" si="8"/>
        <v>0</v>
      </c>
      <c r="J56" s="10">
        <f>ROUND(3230,2)</f>
        <v>3230</v>
      </c>
      <c r="K56" s="10">
        <f>ROUND(164142.49,2)</f>
        <v>164142.49</v>
      </c>
    </row>
    <row r="57" spans="1:11" ht="38.25">
      <c r="A57" s="8" t="s">
        <v>280</v>
      </c>
      <c r="B57" s="9" t="s">
        <v>274</v>
      </c>
      <c r="C57" s="9" t="s">
        <v>167</v>
      </c>
      <c r="D57" s="10">
        <f>ROUND(842970,2)</f>
        <v>842970</v>
      </c>
      <c r="E57" s="10">
        <f t="shared" si="7"/>
        <v>0</v>
      </c>
      <c r="F57" s="10">
        <f>ROUND(382970,2)</f>
        <v>382970</v>
      </c>
      <c r="G57" s="10">
        <f>ROUND(460000,2)</f>
        <v>460000</v>
      </c>
      <c r="H57" s="10">
        <f>ROUND(167372.49,2)</f>
        <v>167372.49</v>
      </c>
      <c r="I57" s="10">
        <f t="shared" si="8"/>
        <v>0</v>
      </c>
      <c r="J57" s="10">
        <f>ROUND(3230,2)</f>
        <v>3230</v>
      </c>
      <c r="K57" s="10">
        <f>ROUND(164142.49,2)</f>
        <v>164142.49</v>
      </c>
    </row>
    <row r="58" spans="1:11" ht="89.25">
      <c r="A58" s="8" t="s">
        <v>40</v>
      </c>
      <c r="B58" s="9" t="s">
        <v>279</v>
      </c>
      <c r="C58" s="9" t="s">
        <v>186</v>
      </c>
      <c r="D58" s="10">
        <f>ROUND(382970,2)</f>
        <v>382970</v>
      </c>
      <c r="E58" s="10">
        <f t="shared" si="7"/>
        <v>0</v>
      </c>
      <c r="F58" s="10">
        <f>ROUND(382970,2)</f>
        <v>382970</v>
      </c>
      <c r="G58" s="10">
        <f>ROUND(0,2)</f>
        <v>0</v>
      </c>
      <c r="H58" s="10">
        <f>ROUND(3230,2)</f>
        <v>3230</v>
      </c>
      <c r="I58" s="10">
        <f t="shared" si="8"/>
        <v>0</v>
      </c>
      <c r="J58" s="10">
        <f>ROUND(3230,2)</f>
        <v>3230</v>
      </c>
      <c r="K58" s="10">
        <f>ROUND(0,2)</f>
        <v>0</v>
      </c>
    </row>
    <row r="59" spans="1:11" ht="76.5">
      <c r="A59" s="8" t="s">
        <v>234</v>
      </c>
      <c r="B59" s="9" t="s">
        <v>20</v>
      </c>
      <c r="C59" s="9" t="s">
        <v>414</v>
      </c>
      <c r="D59" s="10">
        <f>ROUND(460000,2)</f>
        <v>460000</v>
      </c>
      <c r="E59" s="10">
        <f t="shared" si="7"/>
        <v>0</v>
      </c>
      <c r="F59" s="10">
        <f>ROUND(0,2)</f>
        <v>0</v>
      </c>
      <c r="G59" s="10">
        <f>ROUND(460000,2)</f>
        <v>460000</v>
      </c>
      <c r="H59" s="10">
        <f>ROUND(164142.49,2)</f>
        <v>164142.49</v>
      </c>
      <c r="I59" s="10">
        <f t="shared" si="8"/>
        <v>0</v>
      </c>
      <c r="J59" s="10">
        <f>ROUND(0,2)</f>
        <v>0</v>
      </c>
      <c r="K59" s="10">
        <f>ROUND(164142.49,2)</f>
        <v>164142.49</v>
      </c>
    </row>
    <row r="60" spans="1:11" ht="63.75">
      <c r="A60" s="8" t="s">
        <v>448</v>
      </c>
      <c r="B60" s="9" t="s">
        <v>294</v>
      </c>
      <c r="C60" s="9" t="s">
        <v>21</v>
      </c>
      <c r="D60" s="10">
        <f>ROUND(4626238,2)</f>
        <v>4626238</v>
      </c>
      <c r="E60" s="10">
        <f t="shared" si="7"/>
        <v>0</v>
      </c>
      <c r="F60" s="10">
        <f>ROUND(3300000,2)</f>
        <v>3300000</v>
      </c>
      <c r="G60" s="10">
        <f>ROUND(1326238,2)</f>
        <v>1326238</v>
      </c>
      <c r="H60" s="10">
        <f>ROUND(114586.31,2)</f>
        <v>114586.31</v>
      </c>
      <c r="I60" s="10">
        <f t="shared" si="8"/>
        <v>0</v>
      </c>
      <c r="J60" s="10">
        <f>ROUND(48679.07,2)</f>
        <v>48679.07</v>
      </c>
      <c r="K60" s="10">
        <f>ROUND(65907.24,2)</f>
        <v>65907.24</v>
      </c>
    </row>
    <row r="61" spans="1:11" ht="229.5">
      <c r="A61" s="8" t="s">
        <v>352</v>
      </c>
      <c r="B61" s="9" t="s">
        <v>158</v>
      </c>
      <c r="C61" s="9" t="s">
        <v>15</v>
      </c>
      <c r="D61" s="10">
        <f>ROUND(700000,2)</f>
        <v>700000</v>
      </c>
      <c r="E61" s="10">
        <f t="shared" si="7"/>
        <v>0</v>
      </c>
      <c r="F61" s="10">
        <f>ROUND(300000,2)</f>
        <v>300000</v>
      </c>
      <c r="G61" s="10">
        <f>ROUND(400000,2)</f>
        <v>400000</v>
      </c>
      <c r="H61" s="10">
        <f>ROUND(17133.6,2)</f>
        <v>17133.6</v>
      </c>
      <c r="I61" s="10">
        <f t="shared" si="8"/>
        <v>0</v>
      </c>
      <c r="J61" s="10">
        <f aca="true" t="shared" si="11" ref="J61:J67">ROUND(0,2)</f>
        <v>0</v>
      </c>
      <c r="K61" s="10">
        <f>ROUND(17133.6,2)</f>
        <v>17133.6</v>
      </c>
    </row>
    <row r="62" spans="1:11" ht="280.5">
      <c r="A62" s="8" t="s">
        <v>408</v>
      </c>
      <c r="B62" s="9" t="s">
        <v>161</v>
      </c>
      <c r="C62" s="9" t="s">
        <v>35</v>
      </c>
      <c r="D62" s="10">
        <f>ROUND(300000,2)</f>
        <v>300000</v>
      </c>
      <c r="E62" s="10">
        <f t="shared" si="7"/>
        <v>0</v>
      </c>
      <c r="F62" s="10">
        <f>ROUND(300000,2)</f>
        <v>300000</v>
      </c>
      <c r="G62" s="10">
        <f>ROUND(0,2)</f>
        <v>0</v>
      </c>
      <c r="H62" s="10">
        <f>ROUND(0,2)</f>
        <v>0</v>
      </c>
      <c r="I62" s="10">
        <f t="shared" si="8"/>
        <v>0</v>
      </c>
      <c r="J62" s="10">
        <f t="shared" si="11"/>
        <v>0</v>
      </c>
      <c r="K62" s="10">
        <f>ROUND(0,2)</f>
        <v>0</v>
      </c>
    </row>
    <row r="63" spans="1:11" ht="280.5">
      <c r="A63" s="8" t="s">
        <v>350</v>
      </c>
      <c r="B63" s="9" t="s">
        <v>300</v>
      </c>
      <c r="C63" s="9" t="s">
        <v>207</v>
      </c>
      <c r="D63" s="10">
        <f>ROUND(300000,2)</f>
        <v>300000</v>
      </c>
      <c r="E63" s="10">
        <f t="shared" si="7"/>
        <v>0</v>
      </c>
      <c r="F63" s="10">
        <f>ROUND(300000,2)</f>
        <v>300000</v>
      </c>
      <c r="G63" s="10">
        <f>ROUND(0,2)</f>
        <v>0</v>
      </c>
      <c r="H63" s="10">
        <f>ROUND(0,2)</f>
        <v>0</v>
      </c>
      <c r="I63" s="10">
        <f t="shared" si="8"/>
        <v>0</v>
      </c>
      <c r="J63" s="10">
        <f t="shared" si="11"/>
        <v>0</v>
      </c>
      <c r="K63" s="10">
        <f>ROUND(0,2)</f>
        <v>0</v>
      </c>
    </row>
    <row r="64" spans="1:11" ht="267.75">
      <c r="A64" s="8" t="s">
        <v>113</v>
      </c>
      <c r="B64" s="9" t="s">
        <v>356</v>
      </c>
      <c r="C64" s="9" t="s">
        <v>250</v>
      </c>
      <c r="D64" s="10">
        <f>ROUND(400000,2)</f>
        <v>400000</v>
      </c>
      <c r="E64" s="10">
        <f t="shared" si="7"/>
        <v>0</v>
      </c>
      <c r="F64" s="10">
        <f>ROUND(0,2)</f>
        <v>0</v>
      </c>
      <c r="G64" s="10">
        <f>ROUND(400000,2)</f>
        <v>400000</v>
      </c>
      <c r="H64" s="10">
        <f>ROUND(20413.6,2)</f>
        <v>20413.6</v>
      </c>
      <c r="I64" s="10">
        <f t="shared" si="8"/>
        <v>0</v>
      </c>
      <c r="J64" s="10">
        <f t="shared" si="11"/>
        <v>0</v>
      </c>
      <c r="K64" s="10">
        <f>ROUND(20413.6,2)</f>
        <v>20413.6</v>
      </c>
    </row>
    <row r="65" spans="1:11" ht="267.75">
      <c r="A65" s="8" t="s">
        <v>44</v>
      </c>
      <c r="B65" s="9" t="s">
        <v>110</v>
      </c>
      <c r="C65" s="9" t="s">
        <v>390</v>
      </c>
      <c r="D65" s="10">
        <f>ROUND(400000,2)</f>
        <v>400000</v>
      </c>
      <c r="E65" s="10">
        <f t="shared" si="7"/>
        <v>0</v>
      </c>
      <c r="F65" s="10">
        <f>ROUND(0,2)</f>
        <v>0</v>
      </c>
      <c r="G65" s="10">
        <f>ROUND(400000,2)</f>
        <v>400000</v>
      </c>
      <c r="H65" s="10">
        <f>ROUND(20413.6,2)</f>
        <v>20413.6</v>
      </c>
      <c r="I65" s="10">
        <f t="shared" si="8"/>
        <v>0</v>
      </c>
      <c r="J65" s="10">
        <f t="shared" si="11"/>
        <v>0</v>
      </c>
      <c r="K65" s="10">
        <f>ROUND(20413.6,2)</f>
        <v>20413.6</v>
      </c>
    </row>
    <row r="66" spans="1:11" ht="280.5">
      <c r="A66" s="8" t="s">
        <v>314</v>
      </c>
      <c r="B66" s="9" t="s">
        <v>247</v>
      </c>
      <c r="C66" s="9" t="s">
        <v>383</v>
      </c>
      <c r="D66" s="10">
        <f>ROUND(0,2)</f>
        <v>0</v>
      </c>
      <c r="E66" s="10">
        <f t="shared" si="7"/>
        <v>0</v>
      </c>
      <c r="F66" s="10">
        <f>ROUND(0,2)</f>
        <v>0</v>
      </c>
      <c r="G66" s="10">
        <f>ROUND(0,2)</f>
        <v>0</v>
      </c>
      <c r="H66" s="10">
        <f>ROUND(-3280,2)</f>
        <v>-3280</v>
      </c>
      <c r="I66" s="10">
        <f t="shared" si="8"/>
        <v>0</v>
      </c>
      <c r="J66" s="10">
        <f t="shared" si="11"/>
        <v>0</v>
      </c>
      <c r="K66" s="10">
        <f>ROUND(-3280,2)</f>
        <v>-3280</v>
      </c>
    </row>
    <row r="67" spans="1:11" ht="280.5">
      <c r="A67" s="8" t="s">
        <v>277</v>
      </c>
      <c r="B67" s="9" t="s">
        <v>217</v>
      </c>
      <c r="C67" s="9" t="s">
        <v>453</v>
      </c>
      <c r="D67" s="10">
        <f>ROUND(0,2)</f>
        <v>0</v>
      </c>
      <c r="E67" s="10">
        <f t="shared" si="7"/>
        <v>0</v>
      </c>
      <c r="F67" s="10">
        <f>ROUND(0,2)</f>
        <v>0</v>
      </c>
      <c r="G67" s="10">
        <f>ROUND(0,2)</f>
        <v>0</v>
      </c>
      <c r="H67" s="10">
        <f>ROUND(-3280,2)</f>
        <v>-3280</v>
      </c>
      <c r="I67" s="10">
        <f t="shared" si="8"/>
        <v>0</v>
      </c>
      <c r="J67" s="10">
        <f t="shared" si="11"/>
        <v>0</v>
      </c>
      <c r="K67" s="10">
        <f>ROUND(-3280,2)</f>
        <v>-3280</v>
      </c>
    </row>
    <row r="68" spans="1:11" ht="165.75">
      <c r="A68" s="8" t="s">
        <v>362</v>
      </c>
      <c r="B68" s="9" t="s">
        <v>289</v>
      </c>
      <c r="C68" s="9" t="s">
        <v>287</v>
      </c>
      <c r="D68" s="10">
        <f>ROUND(3926238,2)</f>
        <v>3926238</v>
      </c>
      <c r="E68" s="10">
        <f t="shared" si="7"/>
        <v>0</v>
      </c>
      <c r="F68" s="10">
        <f>ROUND(3000000,2)</f>
        <v>3000000</v>
      </c>
      <c r="G68" s="10">
        <f>ROUND(926238,2)</f>
        <v>926238</v>
      </c>
      <c r="H68" s="10">
        <f>ROUND(97452.71,2)</f>
        <v>97452.71</v>
      </c>
      <c r="I68" s="10">
        <f t="shared" si="8"/>
        <v>0</v>
      </c>
      <c r="J68" s="10">
        <f>ROUND(48679.07,2)</f>
        <v>48679.07</v>
      </c>
      <c r="K68" s="10">
        <f>ROUND(48773.64,2)</f>
        <v>48773.64</v>
      </c>
    </row>
    <row r="69" spans="1:11" ht="102">
      <c r="A69" s="8" t="s">
        <v>208</v>
      </c>
      <c r="B69" s="9" t="s">
        <v>410</v>
      </c>
      <c r="C69" s="9" t="s">
        <v>3</v>
      </c>
      <c r="D69" s="10">
        <f>ROUND(1276238,2)</f>
        <v>1276238</v>
      </c>
      <c r="E69" s="10">
        <f t="shared" si="7"/>
        <v>0</v>
      </c>
      <c r="F69" s="10">
        <f>ROUND(650000,2)</f>
        <v>650000</v>
      </c>
      <c r="G69" s="10">
        <f>ROUND(626238,2)</f>
        <v>626238</v>
      </c>
      <c r="H69" s="10">
        <f>ROUND(97358.16,2)</f>
        <v>97358.16</v>
      </c>
      <c r="I69" s="10">
        <f t="shared" si="8"/>
        <v>0</v>
      </c>
      <c r="J69" s="10">
        <f>ROUND(48679.07,2)</f>
        <v>48679.07</v>
      </c>
      <c r="K69" s="10">
        <f>ROUND(48679.09,2)</f>
        <v>48679.09</v>
      </c>
    </row>
    <row r="70" spans="1:11" ht="114.75">
      <c r="A70" s="8" t="s">
        <v>198</v>
      </c>
      <c r="B70" s="9" t="s">
        <v>258</v>
      </c>
      <c r="C70" s="9" t="s">
        <v>64</v>
      </c>
      <c r="D70" s="10">
        <f>ROUND(1276238,2)</f>
        <v>1276238</v>
      </c>
      <c r="E70" s="10">
        <f aca="true" t="shared" si="12" ref="E70:E95">ROUND(0,2)</f>
        <v>0</v>
      </c>
      <c r="F70" s="10">
        <f>ROUND(650000,2)</f>
        <v>650000</v>
      </c>
      <c r="G70" s="10">
        <f>ROUND(626238,2)</f>
        <v>626238</v>
      </c>
      <c r="H70" s="10">
        <f>ROUND(97358.16,2)</f>
        <v>97358.16</v>
      </c>
      <c r="I70" s="10">
        <f aca="true" t="shared" si="13" ref="I70:I95">ROUND(0,2)</f>
        <v>0</v>
      </c>
      <c r="J70" s="10">
        <f>ROUND(48679.07,2)</f>
        <v>48679.07</v>
      </c>
      <c r="K70" s="10">
        <f>ROUND(48679.09,2)</f>
        <v>48679.09</v>
      </c>
    </row>
    <row r="71" spans="1:11" ht="140.25">
      <c r="A71" s="8" t="s">
        <v>452</v>
      </c>
      <c r="B71" s="9" t="s">
        <v>176</v>
      </c>
      <c r="C71" s="9" t="s">
        <v>412</v>
      </c>
      <c r="D71" s="10">
        <f>ROUND(2650000,2)</f>
        <v>2650000</v>
      </c>
      <c r="E71" s="10">
        <f t="shared" si="12"/>
        <v>0</v>
      </c>
      <c r="F71" s="10">
        <f>ROUND(2350000,2)</f>
        <v>2350000</v>
      </c>
      <c r="G71" s="10">
        <f>ROUND(300000,2)</f>
        <v>300000</v>
      </c>
      <c r="H71" s="10">
        <f>ROUND(94.55,2)</f>
        <v>94.55</v>
      </c>
      <c r="I71" s="10">
        <f t="shared" si="13"/>
        <v>0</v>
      </c>
      <c r="J71" s="10">
        <f>ROUND(0,2)</f>
        <v>0</v>
      </c>
      <c r="K71" s="10">
        <f>ROUND(94.55,2)</f>
        <v>94.55</v>
      </c>
    </row>
    <row r="72" spans="1:11" ht="153">
      <c r="A72" s="8" t="s">
        <v>322</v>
      </c>
      <c r="B72" s="9" t="s">
        <v>180</v>
      </c>
      <c r="C72" s="9" t="s">
        <v>143</v>
      </c>
      <c r="D72" s="10">
        <f>ROUND(2350000,2)</f>
        <v>2350000</v>
      </c>
      <c r="E72" s="10">
        <f t="shared" si="12"/>
        <v>0</v>
      </c>
      <c r="F72" s="10">
        <f>ROUND(2350000,2)</f>
        <v>2350000</v>
      </c>
      <c r="G72" s="10">
        <f>ROUND(0,2)</f>
        <v>0</v>
      </c>
      <c r="H72" s="10">
        <f>ROUND(0,2)</f>
        <v>0</v>
      </c>
      <c r="I72" s="10">
        <f t="shared" si="13"/>
        <v>0</v>
      </c>
      <c r="J72" s="10">
        <f>ROUND(0,2)</f>
        <v>0</v>
      </c>
      <c r="K72" s="10">
        <f>ROUND(0,2)</f>
        <v>0</v>
      </c>
    </row>
    <row r="73" spans="1:11" ht="140.25">
      <c r="A73" s="8" t="s">
        <v>68</v>
      </c>
      <c r="B73" s="9" t="s">
        <v>432</v>
      </c>
      <c r="C73" s="9" t="s">
        <v>132</v>
      </c>
      <c r="D73" s="10">
        <f>ROUND(300000,2)</f>
        <v>300000</v>
      </c>
      <c r="E73" s="10">
        <f t="shared" si="12"/>
        <v>0</v>
      </c>
      <c r="F73" s="10">
        <f>ROUND(0,2)</f>
        <v>0</v>
      </c>
      <c r="G73" s="10">
        <f>ROUND(300000,2)</f>
        <v>300000</v>
      </c>
      <c r="H73" s="10">
        <f>ROUND(94.55,2)</f>
        <v>94.55</v>
      </c>
      <c r="I73" s="10">
        <f t="shared" si="13"/>
        <v>0</v>
      </c>
      <c r="J73" s="10">
        <f>ROUND(0,2)</f>
        <v>0</v>
      </c>
      <c r="K73" s="10">
        <f>ROUND(94.55,2)</f>
        <v>94.55</v>
      </c>
    </row>
    <row r="74" spans="1:11" ht="38.25">
      <c r="A74" s="8" t="s">
        <v>243</v>
      </c>
      <c r="B74" s="9" t="s">
        <v>116</v>
      </c>
      <c r="C74" s="9" t="s">
        <v>237</v>
      </c>
      <c r="D74" s="10">
        <f>ROUND(1900000,2)</f>
        <v>1900000</v>
      </c>
      <c r="E74" s="10">
        <f t="shared" si="12"/>
        <v>0</v>
      </c>
      <c r="F74" s="10">
        <f>ROUND(1900000,2)</f>
        <v>1900000</v>
      </c>
      <c r="G74" s="10">
        <f aca="true" t="shared" si="14" ref="G74:G88">ROUND(0,2)</f>
        <v>0</v>
      </c>
      <c r="H74" s="10">
        <f>ROUND(517530.06,2)</f>
        <v>517530.06</v>
      </c>
      <c r="I74" s="10">
        <f t="shared" si="13"/>
        <v>0</v>
      </c>
      <c r="J74" s="10">
        <f>ROUND(517530.06,2)</f>
        <v>517530.06</v>
      </c>
      <c r="K74" s="10">
        <f aca="true" t="shared" si="15" ref="K74:K88">ROUND(0,2)</f>
        <v>0</v>
      </c>
    </row>
    <row r="75" spans="1:11" ht="63.75">
      <c r="A75" s="8" t="s">
        <v>396</v>
      </c>
      <c r="B75" s="9" t="s">
        <v>380</v>
      </c>
      <c r="C75" s="9" t="s">
        <v>364</v>
      </c>
      <c r="D75" s="10">
        <f>ROUND(20000,2)</f>
        <v>20000</v>
      </c>
      <c r="E75" s="10">
        <f t="shared" si="12"/>
        <v>0</v>
      </c>
      <c r="F75" s="10">
        <f>ROUND(20000,2)</f>
        <v>20000</v>
      </c>
      <c r="G75" s="10">
        <f t="shared" si="14"/>
        <v>0</v>
      </c>
      <c r="H75" s="10">
        <f>ROUND(725,2)</f>
        <v>725</v>
      </c>
      <c r="I75" s="10">
        <f t="shared" si="13"/>
        <v>0</v>
      </c>
      <c r="J75" s="10">
        <f>ROUND(725,2)</f>
        <v>725</v>
      </c>
      <c r="K75" s="10">
        <f t="shared" si="15"/>
        <v>0</v>
      </c>
    </row>
    <row r="76" spans="1:11" ht="293.25">
      <c r="A76" s="8" t="s">
        <v>131</v>
      </c>
      <c r="B76" s="9" t="s">
        <v>442</v>
      </c>
      <c r="C76" s="9" t="s">
        <v>189</v>
      </c>
      <c r="D76" s="10">
        <f>ROUND(20000,2)</f>
        <v>20000</v>
      </c>
      <c r="E76" s="10">
        <f t="shared" si="12"/>
        <v>0</v>
      </c>
      <c r="F76" s="10">
        <f>ROUND(20000,2)</f>
        <v>20000</v>
      </c>
      <c r="G76" s="10">
        <f t="shared" si="14"/>
        <v>0</v>
      </c>
      <c r="H76" s="10">
        <f>ROUND(725,2)</f>
        <v>725</v>
      </c>
      <c r="I76" s="10">
        <f t="shared" si="13"/>
        <v>0</v>
      </c>
      <c r="J76" s="10">
        <f>ROUND(725,2)</f>
        <v>725</v>
      </c>
      <c r="K76" s="10">
        <f t="shared" si="15"/>
        <v>0</v>
      </c>
    </row>
    <row r="77" spans="1:11" ht="165.75">
      <c r="A77" s="8" t="s">
        <v>421</v>
      </c>
      <c r="B77" s="9" t="s">
        <v>30</v>
      </c>
      <c r="C77" s="9" t="s">
        <v>156</v>
      </c>
      <c r="D77" s="10">
        <f>ROUND(20000,2)</f>
        <v>20000</v>
      </c>
      <c r="E77" s="10">
        <f t="shared" si="12"/>
        <v>0</v>
      </c>
      <c r="F77" s="10">
        <f>ROUND(20000,2)</f>
        <v>20000</v>
      </c>
      <c r="G77" s="10">
        <f t="shared" si="14"/>
        <v>0</v>
      </c>
      <c r="H77" s="10">
        <f>ROUND(12000,2)</f>
        <v>12000</v>
      </c>
      <c r="I77" s="10">
        <f t="shared" si="13"/>
        <v>0</v>
      </c>
      <c r="J77" s="10">
        <f>ROUND(12000,2)</f>
        <v>12000</v>
      </c>
      <c r="K77" s="10">
        <f t="shared" si="15"/>
        <v>0</v>
      </c>
    </row>
    <row r="78" spans="1:11" ht="280.5">
      <c r="A78" s="8" t="s">
        <v>46</v>
      </c>
      <c r="B78" s="9" t="s">
        <v>123</v>
      </c>
      <c r="C78" s="9" t="s">
        <v>415</v>
      </c>
      <c r="D78" s="10">
        <f>ROUND(160000,2)</f>
        <v>160000</v>
      </c>
      <c r="E78" s="10">
        <f t="shared" si="12"/>
        <v>0</v>
      </c>
      <c r="F78" s="10">
        <f>ROUND(160000,2)</f>
        <v>160000</v>
      </c>
      <c r="G78" s="10">
        <f t="shared" si="14"/>
        <v>0</v>
      </c>
      <c r="H78" s="10">
        <f>ROUND(70516.61,2)</f>
        <v>70516.61</v>
      </c>
      <c r="I78" s="10">
        <f t="shared" si="13"/>
        <v>0</v>
      </c>
      <c r="J78" s="10">
        <f>ROUND(70516.61,2)</f>
        <v>70516.61</v>
      </c>
      <c r="K78" s="10">
        <f t="shared" si="15"/>
        <v>0</v>
      </c>
    </row>
    <row r="79" spans="1:11" ht="76.5">
      <c r="A79" s="8" t="s">
        <v>232</v>
      </c>
      <c r="B79" s="9" t="s">
        <v>194</v>
      </c>
      <c r="C79" s="9" t="s">
        <v>160</v>
      </c>
      <c r="D79" s="10">
        <f>ROUND(60000,2)</f>
        <v>60000</v>
      </c>
      <c r="E79" s="10">
        <f t="shared" si="12"/>
        <v>0</v>
      </c>
      <c r="F79" s="10">
        <f>ROUND(60000,2)</f>
        <v>60000</v>
      </c>
      <c r="G79" s="10">
        <f t="shared" si="14"/>
        <v>0</v>
      </c>
      <c r="H79" s="10">
        <f>ROUND(21000,2)</f>
        <v>21000</v>
      </c>
      <c r="I79" s="10">
        <f t="shared" si="13"/>
        <v>0</v>
      </c>
      <c r="J79" s="10">
        <f>ROUND(21000,2)</f>
        <v>21000</v>
      </c>
      <c r="K79" s="10">
        <f t="shared" si="15"/>
        <v>0</v>
      </c>
    </row>
    <row r="80" spans="1:11" ht="114.75">
      <c r="A80" s="8" t="s">
        <v>43</v>
      </c>
      <c r="B80" s="9" t="s">
        <v>425</v>
      </c>
      <c r="C80" s="9" t="s">
        <v>32</v>
      </c>
      <c r="D80" s="10">
        <f>ROUND(40000,2)</f>
        <v>40000</v>
      </c>
      <c r="E80" s="10">
        <f t="shared" si="12"/>
        <v>0</v>
      </c>
      <c r="F80" s="10">
        <f>ROUND(40000,2)</f>
        <v>40000</v>
      </c>
      <c r="G80" s="10">
        <f t="shared" si="14"/>
        <v>0</v>
      </c>
      <c r="H80" s="10">
        <f>ROUND(5516.61,2)</f>
        <v>5516.61</v>
      </c>
      <c r="I80" s="10">
        <f t="shared" si="13"/>
        <v>0</v>
      </c>
      <c r="J80" s="10">
        <f>ROUND(5516.61,2)</f>
        <v>5516.61</v>
      </c>
      <c r="K80" s="10">
        <f t="shared" si="15"/>
        <v>0</v>
      </c>
    </row>
    <row r="81" spans="1:11" ht="102">
      <c r="A81" s="8" t="s">
        <v>239</v>
      </c>
      <c r="B81" s="9" t="s">
        <v>311</v>
      </c>
      <c r="C81" s="9" t="s">
        <v>263</v>
      </c>
      <c r="D81" s="10">
        <f>ROUND(20000,2)</f>
        <v>20000</v>
      </c>
      <c r="E81" s="10">
        <f t="shared" si="12"/>
        <v>0</v>
      </c>
      <c r="F81" s="10">
        <f>ROUND(20000,2)</f>
        <v>20000</v>
      </c>
      <c r="G81" s="10">
        <f t="shared" si="14"/>
        <v>0</v>
      </c>
      <c r="H81" s="10">
        <f>ROUND(0,2)</f>
        <v>0</v>
      </c>
      <c r="I81" s="10">
        <f t="shared" si="13"/>
        <v>0</v>
      </c>
      <c r="J81" s="10">
        <f>ROUND(0,2)</f>
        <v>0</v>
      </c>
      <c r="K81" s="10">
        <f t="shared" si="15"/>
        <v>0</v>
      </c>
    </row>
    <row r="82" spans="1:11" ht="76.5">
      <c r="A82" s="8" t="s">
        <v>444</v>
      </c>
      <c r="B82" s="9" t="s">
        <v>292</v>
      </c>
      <c r="C82" s="9" t="s">
        <v>31</v>
      </c>
      <c r="D82" s="10">
        <f>ROUND(20000,2)</f>
        <v>20000</v>
      </c>
      <c r="E82" s="10">
        <f t="shared" si="12"/>
        <v>0</v>
      </c>
      <c r="F82" s="10">
        <f>ROUND(20000,2)</f>
        <v>20000</v>
      </c>
      <c r="G82" s="10">
        <f t="shared" si="14"/>
        <v>0</v>
      </c>
      <c r="H82" s="10">
        <f>ROUND(43000,2)</f>
        <v>43000</v>
      </c>
      <c r="I82" s="10">
        <f t="shared" si="13"/>
        <v>0</v>
      </c>
      <c r="J82" s="10">
        <f>ROUND(43000,2)</f>
        <v>43000</v>
      </c>
      <c r="K82" s="10">
        <f t="shared" si="15"/>
        <v>0</v>
      </c>
    </row>
    <row r="83" spans="1:11" ht="63.75">
      <c r="A83" s="8" t="s">
        <v>139</v>
      </c>
      <c r="B83" s="9" t="s">
        <v>72</v>
      </c>
      <c r="C83" s="9" t="s">
        <v>141</v>
      </c>
      <c r="D83" s="10">
        <f>ROUND(20000,2)</f>
        <v>20000</v>
      </c>
      <c r="E83" s="10">
        <f t="shared" si="12"/>
        <v>0</v>
      </c>
      <c r="F83" s="10">
        <f>ROUND(20000,2)</f>
        <v>20000</v>
      </c>
      <c r="G83" s="10">
        <f t="shared" si="14"/>
        <v>0</v>
      </c>
      <c r="H83" s="10">
        <f>ROUND(1000,2)</f>
        <v>1000</v>
      </c>
      <c r="I83" s="10">
        <f t="shared" si="13"/>
        <v>0</v>
      </c>
      <c r="J83" s="10">
        <f>ROUND(1000,2)</f>
        <v>1000</v>
      </c>
      <c r="K83" s="10">
        <f t="shared" si="15"/>
        <v>0</v>
      </c>
    </row>
    <row r="84" spans="1:11" ht="153">
      <c r="A84" s="8" t="s">
        <v>1</v>
      </c>
      <c r="B84" s="9" t="s">
        <v>48</v>
      </c>
      <c r="C84" s="9" t="s">
        <v>402</v>
      </c>
      <c r="D84" s="10">
        <f>ROUND(200000,2)</f>
        <v>200000</v>
      </c>
      <c r="E84" s="10">
        <f t="shared" si="12"/>
        <v>0</v>
      </c>
      <c r="F84" s="10">
        <f>ROUND(200000,2)</f>
        <v>200000</v>
      </c>
      <c r="G84" s="10">
        <f t="shared" si="14"/>
        <v>0</v>
      </c>
      <c r="H84" s="10">
        <f>ROUND(74500,2)</f>
        <v>74500</v>
      </c>
      <c r="I84" s="10">
        <f t="shared" si="13"/>
        <v>0</v>
      </c>
      <c r="J84" s="10">
        <f>ROUND(74500,2)</f>
        <v>74500</v>
      </c>
      <c r="K84" s="10">
        <f t="shared" si="15"/>
        <v>0</v>
      </c>
    </row>
    <row r="85" spans="1:11" ht="63.75">
      <c r="A85" s="8" t="s">
        <v>18</v>
      </c>
      <c r="B85" s="9" t="s">
        <v>375</v>
      </c>
      <c r="C85" s="9" t="s">
        <v>293</v>
      </c>
      <c r="D85" s="10">
        <f>ROUND(0,2)</f>
        <v>0</v>
      </c>
      <c r="E85" s="10">
        <f t="shared" si="12"/>
        <v>0</v>
      </c>
      <c r="F85" s="10">
        <f>ROUND(0,2)</f>
        <v>0</v>
      </c>
      <c r="G85" s="10">
        <f t="shared" si="14"/>
        <v>0</v>
      </c>
      <c r="H85" s="10">
        <f>ROUND(1300,2)</f>
        <v>1300</v>
      </c>
      <c r="I85" s="10">
        <f t="shared" si="13"/>
        <v>0</v>
      </c>
      <c r="J85" s="10">
        <f>ROUND(1300,2)</f>
        <v>1300</v>
      </c>
      <c r="K85" s="10">
        <f t="shared" si="15"/>
        <v>0</v>
      </c>
    </row>
    <row r="86" spans="1:11" ht="63.75">
      <c r="A86" s="8" t="s">
        <v>118</v>
      </c>
      <c r="B86" s="9" t="s">
        <v>148</v>
      </c>
      <c r="C86" s="9" t="s">
        <v>276</v>
      </c>
      <c r="D86" s="10">
        <f>ROUND(0,2)</f>
        <v>0</v>
      </c>
      <c r="E86" s="10">
        <f t="shared" si="12"/>
        <v>0</v>
      </c>
      <c r="F86" s="10">
        <f>ROUND(0,2)</f>
        <v>0</v>
      </c>
      <c r="G86" s="10">
        <f t="shared" si="14"/>
        <v>0</v>
      </c>
      <c r="H86" s="10">
        <f>ROUND(1300,2)</f>
        <v>1300</v>
      </c>
      <c r="I86" s="10">
        <f t="shared" si="13"/>
        <v>0</v>
      </c>
      <c r="J86" s="10">
        <f>ROUND(1300,2)</f>
        <v>1300</v>
      </c>
      <c r="K86" s="10">
        <f t="shared" si="15"/>
        <v>0</v>
      </c>
    </row>
    <row r="87" spans="1:11" ht="63.75">
      <c r="A87" s="8" t="s">
        <v>92</v>
      </c>
      <c r="B87" s="9" t="s">
        <v>242</v>
      </c>
      <c r="C87" s="9" t="s">
        <v>371</v>
      </c>
      <c r="D87" s="10">
        <f>ROUND(1500000,2)</f>
        <v>1500000</v>
      </c>
      <c r="E87" s="10">
        <f t="shared" si="12"/>
        <v>0</v>
      </c>
      <c r="F87" s="10">
        <f>ROUND(1500000,2)</f>
        <v>1500000</v>
      </c>
      <c r="G87" s="10">
        <f t="shared" si="14"/>
        <v>0</v>
      </c>
      <c r="H87" s="10">
        <f>ROUND(358488.45,2)</f>
        <v>358488.45</v>
      </c>
      <c r="I87" s="10">
        <f t="shared" si="13"/>
        <v>0</v>
      </c>
      <c r="J87" s="10">
        <f>ROUND(358488.45,2)</f>
        <v>358488.45</v>
      </c>
      <c r="K87" s="10">
        <f t="shared" si="15"/>
        <v>0</v>
      </c>
    </row>
    <row r="88" spans="1:11" ht="114.75">
      <c r="A88" s="8" t="s">
        <v>347</v>
      </c>
      <c r="B88" s="9" t="s">
        <v>59</v>
      </c>
      <c r="C88" s="9" t="s">
        <v>283</v>
      </c>
      <c r="D88" s="10">
        <f>ROUND(1500000,2)</f>
        <v>1500000</v>
      </c>
      <c r="E88" s="10">
        <f t="shared" si="12"/>
        <v>0</v>
      </c>
      <c r="F88" s="10">
        <f>ROUND(1500000,2)</f>
        <v>1500000</v>
      </c>
      <c r="G88" s="10">
        <f t="shared" si="14"/>
        <v>0</v>
      </c>
      <c r="H88" s="10">
        <f>ROUND(358488.45,2)</f>
        <v>358488.45</v>
      </c>
      <c r="I88" s="10">
        <f t="shared" si="13"/>
        <v>0</v>
      </c>
      <c r="J88" s="10">
        <f>ROUND(358488.45,2)</f>
        <v>358488.45</v>
      </c>
      <c r="K88" s="10">
        <f t="shared" si="15"/>
        <v>0</v>
      </c>
    </row>
    <row r="89" spans="1:11" ht="38.25">
      <c r="A89" s="8" t="s">
        <v>50</v>
      </c>
      <c r="B89" s="9" t="s">
        <v>262</v>
      </c>
      <c r="C89" s="9" t="s">
        <v>25</v>
      </c>
      <c r="D89" s="10">
        <f>ROUND(6787793,2)</f>
        <v>6787793</v>
      </c>
      <c r="E89" s="10">
        <f t="shared" si="12"/>
        <v>0</v>
      </c>
      <c r="F89" s="10">
        <f>ROUND(5427751,2)</f>
        <v>5427751</v>
      </c>
      <c r="G89" s="10">
        <f>ROUND(1360042,2)</f>
        <v>1360042</v>
      </c>
      <c r="H89" s="10">
        <f>ROUND(2324825.63,2)</f>
        <v>2324825.63</v>
      </c>
      <c r="I89" s="10">
        <f t="shared" si="13"/>
        <v>0</v>
      </c>
      <c r="J89" s="10">
        <f>ROUND(1230038.97,2)</f>
        <v>1230038.97</v>
      </c>
      <c r="K89" s="10">
        <f>ROUND(1094786.66,2)</f>
        <v>1094786.66</v>
      </c>
    </row>
    <row r="90" spans="1:11" ht="25.5">
      <c r="A90" s="8" t="s">
        <v>228</v>
      </c>
      <c r="B90" s="9" t="s">
        <v>438</v>
      </c>
      <c r="C90" s="9" t="s">
        <v>254</v>
      </c>
      <c r="D90" s="10">
        <f>ROUND(0,2)</f>
        <v>0</v>
      </c>
      <c r="E90" s="10">
        <f t="shared" si="12"/>
        <v>0</v>
      </c>
      <c r="F90" s="10">
        <f aca="true" t="shared" si="16" ref="F90:G92">ROUND(0,2)</f>
        <v>0</v>
      </c>
      <c r="G90" s="10">
        <f t="shared" si="16"/>
        <v>0</v>
      </c>
      <c r="H90" s="10">
        <f>ROUND(-334487.82,2)</f>
        <v>-334487.82</v>
      </c>
      <c r="I90" s="10">
        <f t="shared" si="13"/>
        <v>0</v>
      </c>
      <c r="J90" s="10">
        <f>ROUND(-416000,2)</f>
        <v>-416000</v>
      </c>
      <c r="K90" s="10">
        <f>ROUND(81512.18,2)</f>
        <v>81512.18</v>
      </c>
    </row>
    <row r="91" spans="1:11" ht="76.5">
      <c r="A91" s="8" t="s">
        <v>73</v>
      </c>
      <c r="B91" s="9" t="s">
        <v>200</v>
      </c>
      <c r="C91" s="9" t="s">
        <v>173</v>
      </c>
      <c r="D91" s="10">
        <f>ROUND(0,2)</f>
        <v>0</v>
      </c>
      <c r="E91" s="10">
        <f t="shared" si="12"/>
        <v>0</v>
      </c>
      <c r="F91" s="10">
        <f t="shared" si="16"/>
        <v>0</v>
      </c>
      <c r="G91" s="10">
        <f t="shared" si="16"/>
        <v>0</v>
      </c>
      <c r="H91" s="10">
        <f>ROUND(-416000,2)</f>
        <v>-416000</v>
      </c>
      <c r="I91" s="10">
        <f t="shared" si="13"/>
        <v>0</v>
      </c>
      <c r="J91" s="10">
        <f>ROUND(-416000,2)</f>
        <v>-416000</v>
      </c>
      <c r="K91" s="10">
        <f>ROUND(0,2)</f>
        <v>0</v>
      </c>
    </row>
    <row r="92" spans="1:11" ht="51">
      <c r="A92" s="8" t="s">
        <v>320</v>
      </c>
      <c r="B92" s="9" t="s">
        <v>450</v>
      </c>
      <c r="C92" s="9" t="s">
        <v>377</v>
      </c>
      <c r="D92" s="10">
        <f>ROUND(0,2)</f>
        <v>0</v>
      </c>
      <c r="E92" s="10">
        <f t="shared" si="12"/>
        <v>0</v>
      </c>
      <c r="F92" s="10">
        <f t="shared" si="16"/>
        <v>0</v>
      </c>
      <c r="G92" s="10">
        <f t="shared" si="16"/>
        <v>0</v>
      </c>
      <c r="H92" s="10">
        <f>ROUND(81512.18,2)</f>
        <v>81512.18</v>
      </c>
      <c r="I92" s="10">
        <f t="shared" si="13"/>
        <v>0</v>
      </c>
      <c r="J92" s="10">
        <f>ROUND(0,2)</f>
        <v>0</v>
      </c>
      <c r="K92" s="10">
        <f>ROUND(81512.18,2)</f>
        <v>81512.18</v>
      </c>
    </row>
    <row r="93" spans="1:11" ht="25.5">
      <c r="A93" s="8" t="s">
        <v>185</v>
      </c>
      <c r="B93" s="9" t="s">
        <v>37</v>
      </c>
      <c r="C93" s="9" t="s">
        <v>382</v>
      </c>
      <c r="D93" s="10">
        <f>ROUND(6787793,2)</f>
        <v>6787793</v>
      </c>
      <c r="E93" s="10">
        <f t="shared" si="12"/>
        <v>0</v>
      </c>
      <c r="F93" s="10">
        <f>ROUND(5427751,2)</f>
        <v>5427751</v>
      </c>
      <c r="G93" s="10">
        <f>ROUND(1360042,2)</f>
        <v>1360042</v>
      </c>
      <c r="H93" s="10">
        <f>ROUND(2659313.45,2)</f>
        <v>2659313.45</v>
      </c>
      <c r="I93" s="10">
        <f t="shared" si="13"/>
        <v>0</v>
      </c>
      <c r="J93" s="10">
        <f>ROUND(1646038.97,2)</f>
        <v>1646038.97</v>
      </c>
      <c r="K93" s="10">
        <f>ROUND(1013274.48,2)</f>
        <v>1013274.48</v>
      </c>
    </row>
    <row r="94" spans="1:11" ht="51">
      <c r="A94" s="8" t="s">
        <v>84</v>
      </c>
      <c r="B94" s="9" t="s">
        <v>251</v>
      </c>
      <c r="C94" s="9" t="s">
        <v>83</v>
      </c>
      <c r="D94" s="10">
        <f>ROUND(5427751,2)</f>
        <v>5427751</v>
      </c>
      <c r="E94" s="10">
        <f t="shared" si="12"/>
        <v>0</v>
      </c>
      <c r="F94" s="10">
        <f>ROUND(5427751,2)</f>
        <v>5427751</v>
      </c>
      <c r="G94" s="10">
        <f>ROUND(0,2)</f>
        <v>0</v>
      </c>
      <c r="H94" s="10">
        <f>ROUND(1646038.97,2)</f>
        <v>1646038.97</v>
      </c>
      <c r="I94" s="10">
        <f t="shared" si="13"/>
        <v>0</v>
      </c>
      <c r="J94" s="10">
        <f>ROUND(1646038.97,2)</f>
        <v>1646038.97</v>
      </c>
      <c r="K94" s="10">
        <f>ROUND(0,2)</f>
        <v>0</v>
      </c>
    </row>
    <row r="95" spans="1:11" ht="38.25">
      <c r="A95" s="8" t="s">
        <v>253</v>
      </c>
      <c r="B95" s="9" t="s">
        <v>53</v>
      </c>
      <c r="C95" s="9" t="s">
        <v>94</v>
      </c>
      <c r="D95" s="10">
        <f>ROUND(1360042,2)</f>
        <v>1360042</v>
      </c>
      <c r="E95" s="10">
        <f t="shared" si="12"/>
        <v>0</v>
      </c>
      <c r="F95" s="10">
        <f>ROUND(0,2)</f>
        <v>0</v>
      </c>
      <c r="G95" s="10">
        <f>ROUND(1360042,2)</f>
        <v>1360042</v>
      </c>
      <c r="H95" s="10">
        <f>ROUND(1013274.48,2)</f>
        <v>1013274.48</v>
      </c>
      <c r="I95" s="10">
        <f t="shared" si="13"/>
        <v>0</v>
      </c>
      <c r="J95" s="10">
        <f>ROUND(0,2)</f>
        <v>0</v>
      </c>
      <c r="K95" s="10">
        <f>ROUND(1013274.48,2)</f>
        <v>1013274.48</v>
      </c>
    </row>
    <row r="96" spans="1:11" ht="25.5">
      <c r="A96" s="8" t="s">
        <v>168</v>
      </c>
      <c r="B96" s="9" t="s">
        <v>391</v>
      </c>
      <c r="C96" s="9" t="s">
        <v>204</v>
      </c>
      <c r="D96" s="10">
        <f>ROUND(762714132,2)</f>
        <v>762714132</v>
      </c>
      <c r="E96" s="10">
        <f>ROUND(95768216,2)</f>
        <v>95768216</v>
      </c>
      <c r="F96" s="10">
        <f>ROUND(748727293,2)</f>
        <v>748727293</v>
      </c>
      <c r="G96" s="10">
        <f>ROUND(109755055,2)</f>
        <v>109755055</v>
      </c>
      <c r="H96" s="10">
        <f>ROUND(140940743.55,2)</f>
        <v>140940743.55</v>
      </c>
      <c r="I96" s="10">
        <f>ROUND(17339350.86,2)</f>
        <v>17339350.86</v>
      </c>
      <c r="J96" s="10">
        <f>ROUND(136401138.38,2)</f>
        <v>136401138.38</v>
      </c>
      <c r="K96" s="10">
        <f>ROUND(21878956.03,2)</f>
        <v>21878956.03</v>
      </c>
    </row>
    <row r="97" spans="1:11" ht="89.25">
      <c r="A97" s="8" t="s">
        <v>101</v>
      </c>
      <c r="B97" s="9" t="s">
        <v>96</v>
      </c>
      <c r="C97" s="9" t="s">
        <v>368</v>
      </c>
      <c r="D97" s="10">
        <f>ROUND(731063932,2)</f>
        <v>731063932</v>
      </c>
      <c r="E97" s="10">
        <f>ROUND(95768216,2)</f>
        <v>95768216</v>
      </c>
      <c r="F97" s="10">
        <f>ROUND(717107093,2)</f>
        <v>717107093</v>
      </c>
      <c r="G97" s="10">
        <f>ROUND(109725055,2)</f>
        <v>109725055</v>
      </c>
      <c r="H97" s="10">
        <f>ROUND(141476269.74,2)</f>
        <v>141476269.74</v>
      </c>
      <c r="I97" s="10">
        <f>ROUND(17339350.86,2)</f>
        <v>17339350.86</v>
      </c>
      <c r="J97" s="10">
        <f>ROUND(136961268.11,2)</f>
        <v>136961268.11</v>
      </c>
      <c r="K97" s="10">
        <f>ROUND(21854352.49,2)</f>
        <v>21854352.49</v>
      </c>
    </row>
    <row r="98" spans="1:11" ht="63.75">
      <c r="A98" s="8" t="s">
        <v>302</v>
      </c>
      <c r="B98" s="9" t="s">
        <v>248</v>
      </c>
      <c r="C98" s="9" t="s">
        <v>297</v>
      </c>
      <c r="D98" s="10">
        <f>ROUND(78253000,2)</f>
        <v>78253000</v>
      </c>
      <c r="E98" s="10">
        <f>ROUND(21897900,2)</f>
        <v>21897900</v>
      </c>
      <c r="F98" s="10">
        <f>ROUND(78253000,2)</f>
        <v>78253000</v>
      </c>
      <c r="G98" s="10">
        <f>ROUND(21897900,2)</f>
        <v>21897900</v>
      </c>
      <c r="H98" s="10">
        <f>ROUND(32605300,2)</f>
        <v>32605300</v>
      </c>
      <c r="I98" s="10">
        <f>ROUND(4910600,2)</f>
        <v>4910600</v>
      </c>
      <c r="J98" s="10">
        <f>ROUND(32605300,2)</f>
        <v>32605300</v>
      </c>
      <c r="K98" s="10">
        <f>ROUND(4910600,2)</f>
        <v>4910600</v>
      </c>
    </row>
    <row r="99" spans="1:11" ht="51">
      <c r="A99" s="8" t="s">
        <v>108</v>
      </c>
      <c r="B99" s="9" t="s">
        <v>57</v>
      </c>
      <c r="C99" s="9" t="s">
        <v>8</v>
      </c>
      <c r="D99" s="10">
        <f>ROUND(29685000,2)</f>
        <v>29685000</v>
      </c>
      <c r="E99" s="10">
        <f>ROUND(10884900,2)</f>
        <v>10884900</v>
      </c>
      <c r="F99" s="10">
        <f>ROUND(29685000,2)</f>
        <v>29685000</v>
      </c>
      <c r="G99" s="10">
        <f>ROUND(10884900,2)</f>
        <v>10884900</v>
      </c>
      <c r="H99" s="10">
        <f>ROUND(12369300,2)</f>
        <v>12369300</v>
      </c>
      <c r="I99" s="10">
        <f>ROUND(3840600,2)</f>
        <v>3840600</v>
      </c>
      <c r="J99" s="10">
        <f>ROUND(12369300,2)</f>
        <v>12369300</v>
      </c>
      <c r="K99" s="10">
        <f>ROUND(3840600,2)</f>
        <v>3840600</v>
      </c>
    </row>
    <row r="100" spans="1:11" ht="76.5">
      <c r="A100" s="8" t="s">
        <v>405</v>
      </c>
      <c r="B100" s="9" t="s">
        <v>23</v>
      </c>
      <c r="C100" s="9" t="s">
        <v>166</v>
      </c>
      <c r="D100" s="10">
        <f>ROUND(29685000,2)</f>
        <v>29685000</v>
      </c>
      <c r="E100" s="10">
        <f>ROUND(0,2)</f>
        <v>0</v>
      </c>
      <c r="F100" s="10">
        <f>ROUND(29685000,2)</f>
        <v>29685000</v>
      </c>
      <c r="G100" s="10">
        <f>ROUND(0,2)</f>
        <v>0</v>
      </c>
      <c r="H100" s="10">
        <f>ROUND(12369300,2)</f>
        <v>12369300</v>
      </c>
      <c r="I100" s="10">
        <f>ROUND(0,2)</f>
        <v>0</v>
      </c>
      <c r="J100" s="10">
        <f>ROUND(12369300,2)</f>
        <v>12369300</v>
      </c>
      <c r="K100" s="10">
        <f>ROUND(0,2)</f>
        <v>0</v>
      </c>
    </row>
    <row r="101" spans="1:11" ht="63.75">
      <c r="A101" s="8" t="s">
        <v>124</v>
      </c>
      <c r="B101" s="9" t="s">
        <v>282</v>
      </c>
      <c r="C101" s="9" t="s">
        <v>221</v>
      </c>
      <c r="D101" s="10">
        <f>ROUND(0,2)</f>
        <v>0</v>
      </c>
      <c r="E101" s="10">
        <f>ROUND(10884900,2)</f>
        <v>10884900</v>
      </c>
      <c r="F101" s="10">
        <f>ROUND(0,2)</f>
        <v>0</v>
      </c>
      <c r="G101" s="10">
        <f>ROUND(10884900,2)</f>
        <v>10884900</v>
      </c>
      <c r="H101" s="10">
        <f>ROUND(0,2)</f>
        <v>0</v>
      </c>
      <c r="I101" s="10">
        <f>ROUND(3840600,2)</f>
        <v>3840600</v>
      </c>
      <c r="J101" s="10">
        <f>ROUND(0,2)</f>
        <v>0</v>
      </c>
      <c r="K101" s="10">
        <f>ROUND(3840600,2)</f>
        <v>3840600</v>
      </c>
    </row>
    <row r="102" spans="1:11" ht="63.75">
      <c r="A102" s="8" t="s">
        <v>365</v>
      </c>
      <c r="B102" s="9" t="s">
        <v>213</v>
      </c>
      <c r="C102" s="9" t="s">
        <v>45</v>
      </c>
      <c r="D102" s="10">
        <f>ROUND(48568000,2)</f>
        <v>48568000</v>
      </c>
      <c r="E102" s="10">
        <f>ROUND(0,2)</f>
        <v>0</v>
      </c>
      <c r="F102" s="10">
        <f>ROUND(48568000,2)</f>
        <v>48568000</v>
      </c>
      <c r="G102" s="10">
        <f>ROUND(0,2)</f>
        <v>0</v>
      </c>
      <c r="H102" s="10">
        <f>ROUND(20236000,2)</f>
        <v>20236000</v>
      </c>
      <c r="I102" s="10">
        <f>ROUND(0,2)</f>
        <v>0</v>
      </c>
      <c r="J102" s="10">
        <f>ROUND(20236000,2)</f>
        <v>20236000</v>
      </c>
      <c r="K102" s="10">
        <f>ROUND(0,2)</f>
        <v>0</v>
      </c>
    </row>
    <row r="103" spans="1:11" ht="89.25">
      <c r="A103" s="8" t="s">
        <v>451</v>
      </c>
      <c r="B103" s="9" t="s">
        <v>193</v>
      </c>
      <c r="C103" s="9" t="s">
        <v>267</v>
      </c>
      <c r="D103" s="10">
        <f>ROUND(48568000,2)</f>
        <v>48568000</v>
      </c>
      <c r="E103" s="10">
        <f>ROUND(0,2)</f>
        <v>0</v>
      </c>
      <c r="F103" s="10">
        <f>ROUND(48568000,2)</f>
        <v>48568000</v>
      </c>
      <c r="G103" s="10">
        <f>ROUND(0,2)</f>
        <v>0</v>
      </c>
      <c r="H103" s="10">
        <f>ROUND(20236000,2)</f>
        <v>20236000</v>
      </c>
      <c r="I103" s="10">
        <f>ROUND(0,2)</f>
        <v>0</v>
      </c>
      <c r="J103" s="10">
        <f>ROUND(20236000,2)</f>
        <v>20236000</v>
      </c>
      <c r="K103" s="10">
        <f>ROUND(0,2)</f>
        <v>0</v>
      </c>
    </row>
    <row r="104" spans="1:11" ht="25.5">
      <c r="A104" s="8" t="s">
        <v>135</v>
      </c>
      <c r="B104" s="9" t="s">
        <v>183</v>
      </c>
      <c r="C104" s="9" t="s">
        <v>214</v>
      </c>
      <c r="D104" s="10">
        <f>ROUND(0,2)</f>
        <v>0</v>
      </c>
      <c r="E104" s="10">
        <f>ROUND(11013000,2)</f>
        <v>11013000</v>
      </c>
      <c r="F104" s="10">
        <f>ROUND(0,2)</f>
        <v>0</v>
      </c>
      <c r="G104" s="10">
        <f>ROUND(11013000,2)</f>
        <v>11013000</v>
      </c>
      <c r="H104" s="10">
        <f>ROUND(0,2)</f>
        <v>0</v>
      </c>
      <c r="I104" s="10">
        <f>ROUND(1070000,2)</f>
        <v>1070000</v>
      </c>
      <c r="J104" s="10">
        <f>ROUND(0,2)</f>
        <v>0</v>
      </c>
      <c r="K104" s="10">
        <f>ROUND(1070000,2)</f>
        <v>1070000</v>
      </c>
    </row>
    <row r="105" spans="1:11" ht="25.5">
      <c r="A105" s="8" t="s">
        <v>417</v>
      </c>
      <c r="B105" s="9" t="s">
        <v>398</v>
      </c>
      <c r="C105" s="9" t="s">
        <v>434</v>
      </c>
      <c r="D105" s="10">
        <f>ROUND(0,2)</f>
        <v>0</v>
      </c>
      <c r="E105" s="10">
        <f>ROUND(11013000,2)</f>
        <v>11013000</v>
      </c>
      <c r="F105" s="10">
        <f>ROUND(0,2)</f>
        <v>0</v>
      </c>
      <c r="G105" s="10">
        <f>ROUND(11013000,2)</f>
        <v>11013000</v>
      </c>
      <c r="H105" s="10">
        <f>ROUND(0,2)</f>
        <v>0</v>
      </c>
      <c r="I105" s="10">
        <f>ROUND(1070000,2)</f>
        <v>1070000</v>
      </c>
      <c r="J105" s="10">
        <f>ROUND(0,2)</f>
        <v>0</v>
      </c>
      <c r="K105" s="10">
        <f>ROUND(1070000,2)</f>
        <v>1070000</v>
      </c>
    </row>
    <row r="106" spans="1:11" ht="89.25">
      <c r="A106" s="8" t="s">
        <v>225</v>
      </c>
      <c r="B106" s="9" t="s">
        <v>71</v>
      </c>
      <c r="C106" s="9" t="s">
        <v>86</v>
      </c>
      <c r="D106" s="10">
        <f>ROUND(439911367,2)</f>
        <v>439911367</v>
      </c>
      <c r="E106" s="10">
        <f>ROUND(29657301,2)</f>
        <v>29657301</v>
      </c>
      <c r="F106" s="10">
        <f>ROUND(427883428,2)</f>
        <v>427883428</v>
      </c>
      <c r="G106" s="10">
        <f>ROUND(41685240,2)</f>
        <v>41685240</v>
      </c>
      <c r="H106" s="10">
        <f>ROUND(36342343.97,2)</f>
        <v>36342343.97</v>
      </c>
      <c r="I106" s="10">
        <f>ROUND(564101,2)</f>
        <v>564101</v>
      </c>
      <c r="J106" s="10">
        <f>ROUND(33567783.97,2)</f>
        <v>33567783.97</v>
      </c>
      <c r="K106" s="10">
        <f>ROUND(3338661,2)</f>
        <v>3338661</v>
      </c>
    </row>
    <row r="107" spans="1:11" ht="178.5">
      <c r="A107" s="8" t="s">
        <v>28</v>
      </c>
      <c r="B107" s="9" t="s">
        <v>60</v>
      </c>
      <c r="C107" s="9" t="s">
        <v>76</v>
      </c>
      <c r="D107" s="10">
        <f>ROUND(398564100,2)</f>
        <v>398564100</v>
      </c>
      <c r="E107" s="10">
        <f>ROUND(19061200,2)</f>
        <v>19061200</v>
      </c>
      <c r="F107" s="10">
        <f>ROUND(398564100,2)</f>
        <v>398564100</v>
      </c>
      <c r="G107" s="10">
        <f>ROUND(19061200,2)</f>
        <v>19061200</v>
      </c>
      <c r="H107" s="10">
        <f>ROUND(26892893.97,2)</f>
        <v>26892893.97</v>
      </c>
      <c r="I107" s="10">
        <f aca="true" t="shared" si="17" ref="I107:I117">ROUND(0,2)</f>
        <v>0</v>
      </c>
      <c r="J107" s="10">
        <f>ROUND(26892893.97,2)</f>
        <v>26892893.97</v>
      </c>
      <c r="K107" s="10">
        <f>ROUND(0,2)</f>
        <v>0</v>
      </c>
    </row>
    <row r="108" spans="1:11" ht="140.25">
      <c r="A108" s="8" t="s">
        <v>220</v>
      </c>
      <c r="B108" s="9" t="s">
        <v>26</v>
      </c>
      <c r="C108" s="9" t="s">
        <v>315</v>
      </c>
      <c r="D108" s="10">
        <f>ROUND(398564100,2)</f>
        <v>398564100</v>
      </c>
      <c r="E108" s="10">
        <f>ROUND(0,2)</f>
        <v>0</v>
      </c>
      <c r="F108" s="10">
        <f>ROUND(398564100,2)</f>
        <v>398564100</v>
      </c>
      <c r="G108" s="10">
        <f>ROUND(0,2)</f>
        <v>0</v>
      </c>
      <c r="H108" s="10">
        <f>ROUND(26892893.97,2)</f>
        <v>26892893.97</v>
      </c>
      <c r="I108" s="10">
        <f t="shared" si="17"/>
        <v>0</v>
      </c>
      <c r="J108" s="10">
        <f>ROUND(26892893.97,2)</f>
        <v>26892893.97</v>
      </c>
      <c r="K108" s="10">
        <f>ROUND(0,2)</f>
        <v>0</v>
      </c>
    </row>
    <row r="109" spans="1:11" ht="127.5">
      <c r="A109" s="8" t="s">
        <v>420</v>
      </c>
      <c r="B109" s="9" t="s">
        <v>270</v>
      </c>
      <c r="C109" s="9" t="s">
        <v>241</v>
      </c>
      <c r="D109" s="10">
        <f>ROUND(0,2)</f>
        <v>0</v>
      </c>
      <c r="E109" s="10">
        <f>ROUND(19061200,2)</f>
        <v>19061200</v>
      </c>
      <c r="F109" s="10">
        <f aca="true" t="shared" si="18" ref="F109:F115">ROUND(0,2)</f>
        <v>0</v>
      </c>
      <c r="G109" s="10">
        <f>ROUND(19061200,2)</f>
        <v>19061200</v>
      </c>
      <c r="H109" s="10">
        <f>ROUND(0,2)</f>
        <v>0</v>
      </c>
      <c r="I109" s="10">
        <f t="shared" si="17"/>
        <v>0</v>
      </c>
      <c r="J109" s="10">
        <f aca="true" t="shared" si="19" ref="J109:J115">ROUND(0,2)</f>
        <v>0</v>
      </c>
      <c r="K109" s="10">
        <f>ROUND(0,2)</f>
        <v>0</v>
      </c>
    </row>
    <row r="110" spans="1:11" ht="267.75">
      <c r="A110" s="8" t="s">
        <v>67</v>
      </c>
      <c r="B110" s="9" t="s">
        <v>437</v>
      </c>
      <c r="C110" s="9" t="s">
        <v>153</v>
      </c>
      <c r="D110" s="10">
        <f>ROUND(9084613,2)</f>
        <v>9084613</v>
      </c>
      <c r="E110" s="10">
        <f aca="true" t="shared" si="20" ref="E110:E117">ROUND(0,2)</f>
        <v>0</v>
      </c>
      <c r="F110" s="10">
        <f t="shared" si="18"/>
        <v>0</v>
      </c>
      <c r="G110" s="10">
        <f>ROUND(9084613,2)</f>
        <v>9084613</v>
      </c>
      <c r="H110" s="10">
        <f>ROUND(2095606,2)</f>
        <v>2095606</v>
      </c>
      <c r="I110" s="10">
        <f t="shared" si="17"/>
        <v>0</v>
      </c>
      <c r="J110" s="10">
        <f t="shared" si="19"/>
        <v>0</v>
      </c>
      <c r="K110" s="10">
        <f>ROUND(2095606,2)</f>
        <v>2095606</v>
      </c>
    </row>
    <row r="111" spans="1:11" ht="255">
      <c r="A111" s="8" t="s">
        <v>211</v>
      </c>
      <c r="B111" s="9" t="s">
        <v>209</v>
      </c>
      <c r="C111" s="9" t="s">
        <v>401</v>
      </c>
      <c r="D111" s="10">
        <f>ROUND(9084613,2)</f>
        <v>9084613</v>
      </c>
      <c r="E111" s="10">
        <f t="shared" si="20"/>
        <v>0</v>
      </c>
      <c r="F111" s="10">
        <f t="shared" si="18"/>
        <v>0</v>
      </c>
      <c r="G111" s="10">
        <f>ROUND(9084613,2)</f>
        <v>9084613</v>
      </c>
      <c r="H111" s="10">
        <f>ROUND(2095606,2)</f>
        <v>2095606</v>
      </c>
      <c r="I111" s="10">
        <f t="shared" si="17"/>
        <v>0</v>
      </c>
      <c r="J111" s="10">
        <f t="shared" si="19"/>
        <v>0</v>
      </c>
      <c r="K111" s="10">
        <f>ROUND(2095606,2)</f>
        <v>2095606</v>
      </c>
    </row>
    <row r="112" spans="1:11" ht="204">
      <c r="A112" s="8" t="s">
        <v>335</v>
      </c>
      <c r="B112" s="9" t="s">
        <v>369</v>
      </c>
      <c r="C112" s="9" t="s">
        <v>19</v>
      </c>
      <c r="D112" s="10">
        <f>ROUND(9084613,2)</f>
        <v>9084613</v>
      </c>
      <c r="E112" s="10">
        <f t="shared" si="20"/>
        <v>0</v>
      </c>
      <c r="F112" s="10">
        <f t="shared" si="18"/>
        <v>0</v>
      </c>
      <c r="G112" s="10">
        <f>ROUND(9084613,2)</f>
        <v>9084613</v>
      </c>
      <c r="H112" s="10">
        <f>ROUND(2095606,2)</f>
        <v>2095606</v>
      </c>
      <c r="I112" s="10">
        <f t="shared" si="17"/>
        <v>0</v>
      </c>
      <c r="J112" s="10">
        <f t="shared" si="19"/>
        <v>0</v>
      </c>
      <c r="K112" s="10">
        <f>ROUND(2095606,2)</f>
        <v>2095606</v>
      </c>
    </row>
    <row r="113" spans="1:11" ht="178.5">
      <c r="A113" s="8" t="s">
        <v>150</v>
      </c>
      <c r="B113" s="9" t="s">
        <v>175</v>
      </c>
      <c r="C113" s="9" t="s">
        <v>337</v>
      </c>
      <c r="D113" s="10">
        <f>ROUND(2943326,2)</f>
        <v>2943326</v>
      </c>
      <c r="E113" s="10">
        <f t="shared" si="20"/>
        <v>0</v>
      </c>
      <c r="F113" s="10">
        <f t="shared" si="18"/>
        <v>0</v>
      </c>
      <c r="G113" s="10">
        <f>ROUND(2943326,2)</f>
        <v>2943326</v>
      </c>
      <c r="H113" s="10">
        <f>ROUND(678954,2)</f>
        <v>678954</v>
      </c>
      <c r="I113" s="10">
        <f t="shared" si="17"/>
        <v>0</v>
      </c>
      <c r="J113" s="10">
        <f t="shared" si="19"/>
        <v>0</v>
      </c>
      <c r="K113" s="10">
        <f>ROUND(678954,2)</f>
        <v>678954</v>
      </c>
    </row>
    <row r="114" spans="1:11" ht="165.75">
      <c r="A114" s="8" t="s">
        <v>170</v>
      </c>
      <c r="B114" s="9" t="s">
        <v>413</v>
      </c>
      <c r="C114" s="9" t="s">
        <v>52</v>
      </c>
      <c r="D114" s="10">
        <f>ROUND(2943326,2)</f>
        <v>2943326</v>
      </c>
      <c r="E114" s="10">
        <f t="shared" si="20"/>
        <v>0</v>
      </c>
      <c r="F114" s="10">
        <f t="shared" si="18"/>
        <v>0</v>
      </c>
      <c r="G114" s="10">
        <f>ROUND(2943326,2)</f>
        <v>2943326</v>
      </c>
      <c r="H114" s="10">
        <f>ROUND(678954,2)</f>
        <v>678954</v>
      </c>
      <c r="I114" s="10">
        <f t="shared" si="17"/>
        <v>0</v>
      </c>
      <c r="J114" s="10">
        <f t="shared" si="19"/>
        <v>0</v>
      </c>
      <c r="K114" s="10">
        <f>ROUND(678954,2)</f>
        <v>678954</v>
      </c>
    </row>
    <row r="115" spans="1:11" ht="114.75">
      <c r="A115" s="8" t="s">
        <v>354</v>
      </c>
      <c r="B115" s="9" t="s">
        <v>120</v>
      </c>
      <c r="C115" s="9" t="s">
        <v>400</v>
      </c>
      <c r="D115" s="10">
        <f>ROUND(2943326,2)</f>
        <v>2943326</v>
      </c>
      <c r="E115" s="10">
        <f t="shared" si="20"/>
        <v>0</v>
      </c>
      <c r="F115" s="10">
        <f t="shared" si="18"/>
        <v>0</v>
      </c>
      <c r="G115" s="10">
        <f>ROUND(2943326,2)</f>
        <v>2943326</v>
      </c>
      <c r="H115" s="10">
        <f>ROUND(678954,2)</f>
        <v>678954</v>
      </c>
      <c r="I115" s="10">
        <f t="shared" si="17"/>
        <v>0</v>
      </c>
      <c r="J115" s="10">
        <f t="shared" si="19"/>
        <v>0</v>
      </c>
      <c r="K115" s="10">
        <f>ROUND(678954,2)</f>
        <v>678954</v>
      </c>
    </row>
    <row r="116" spans="1:11" ht="51">
      <c r="A116" s="8" t="s">
        <v>338</v>
      </c>
      <c r="B116" s="9" t="s">
        <v>56</v>
      </c>
      <c r="C116" s="9" t="s">
        <v>342</v>
      </c>
      <c r="D116" s="10">
        <f>ROUND(15945938,2)</f>
        <v>15945938</v>
      </c>
      <c r="E116" s="10">
        <f t="shared" si="20"/>
        <v>0</v>
      </c>
      <c r="F116" s="10">
        <f>ROUND(15945938,2)</f>
        <v>15945938</v>
      </c>
      <c r="G116" s="10">
        <f>ROUND(0,2)</f>
        <v>0</v>
      </c>
      <c r="H116" s="10">
        <f>ROUND(3921150,2)</f>
        <v>3921150</v>
      </c>
      <c r="I116" s="10">
        <f t="shared" si="17"/>
        <v>0</v>
      </c>
      <c r="J116" s="10">
        <f>ROUND(3921150,2)</f>
        <v>3921150</v>
      </c>
      <c r="K116" s="10">
        <f>ROUND(0,2)</f>
        <v>0</v>
      </c>
    </row>
    <row r="117" spans="1:11" ht="76.5">
      <c r="A117" s="8" t="s">
        <v>222</v>
      </c>
      <c r="B117" s="9" t="s">
        <v>22</v>
      </c>
      <c r="C117" s="9" t="s">
        <v>454</v>
      </c>
      <c r="D117" s="10">
        <f>ROUND(15945938,2)</f>
        <v>15945938</v>
      </c>
      <c r="E117" s="10">
        <f t="shared" si="20"/>
        <v>0</v>
      </c>
      <c r="F117" s="10">
        <f>ROUND(15945938,2)</f>
        <v>15945938</v>
      </c>
      <c r="G117" s="10">
        <f>ROUND(0,2)</f>
        <v>0</v>
      </c>
      <c r="H117" s="10">
        <f>ROUND(3921150,2)</f>
        <v>3921150</v>
      </c>
      <c r="I117" s="10">
        <f t="shared" si="17"/>
        <v>0</v>
      </c>
      <c r="J117" s="10">
        <f>ROUND(3921150,2)</f>
        <v>3921150</v>
      </c>
      <c r="K117" s="10">
        <f>ROUND(0,2)</f>
        <v>0</v>
      </c>
    </row>
    <row r="118" spans="1:11" ht="25.5">
      <c r="A118" s="8" t="s">
        <v>111</v>
      </c>
      <c r="B118" s="9" t="s">
        <v>355</v>
      </c>
      <c r="C118" s="9" t="s">
        <v>27</v>
      </c>
      <c r="D118" s="10">
        <f>ROUND(13373390,2)</f>
        <v>13373390</v>
      </c>
      <c r="E118" s="10">
        <f>ROUND(10596101,2)</f>
        <v>10596101</v>
      </c>
      <c r="F118" s="10">
        <f>ROUND(13373390,2)</f>
        <v>13373390</v>
      </c>
      <c r="G118" s="10">
        <f>ROUND(10596101,2)</f>
        <v>10596101</v>
      </c>
      <c r="H118" s="10">
        <f>ROUND(2753740,2)</f>
        <v>2753740</v>
      </c>
      <c r="I118" s="10">
        <f>ROUND(564101,2)</f>
        <v>564101</v>
      </c>
      <c r="J118" s="10">
        <f>ROUND(2753740,2)</f>
        <v>2753740</v>
      </c>
      <c r="K118" s="10">
        <f>ROUND(564101,2)</f>
        <v>564101</v>
      </c>
    </row>
    <row r="119" spans="1:11" ht="51">
      <c r="A119" s="8" t="s">
        <v>134</v>
      </c>
      <c r="B119" s="9" t="s">
        <v>385</v>
      </c>
      <c r="C119" s="9" t="s">
        <v>351</v>
      </c>
      <c r="D119" s="10">
        <f>ROUND(13373390,2)</f>
        <v>13373390</v>
      </c>
      <c r="E119" s="10">
        <f>ROUND(0,2)</f>
        <v>0</v>
      </c>
      <c r="F119" s="10">
        <f>ROUND(13373390,2)</f>
        <v>13373390</v>
      </c>
      <c r="G119" s="10">
        <f>ROUND(0,2)</f>
        <v>0</v>
      </c>
      <c r="H119" s="10">
        <f>ROUND(2753740,2)</f>
        <v>2753740</v>
      </c>
      <c r="I119" s="10">
        <f>ROUND(0,2)</f>
        <v>0</v>
      </c>
      <c r="J119" s="10">
        <f>ROUND(2753740,2)</f>
        <v>2753740</v>
      </c>
      <c r="K119" s="10">
        <f>ROUND(0,2)</f>
        <v>0</v>
      </c>
    </row>
    <row r="120" spans="1:11" ht="25.5">
      <c r="A120" s="8" t="s">
        <v>386</v>
      </c>
      <c r="B120" s="9" t="s">
        <v>129</v>
      </c>
      <c r="C120" s="9" t="s">
        <v>82</v>
      </c>
      <c r="D120" s="10">
        <f>ROUND(0,2)</f>
        <v>0</v>
      </c>
      <c r="E120" s="10">
        <f>ROUND(10596101,2)</f>
        <v>10596101</v>
      </c>
      <c r="F120" s="10">
        <f>ROUND(0,2)</f>
        <v>0</v>
      </c>
      <c r="G120" s="10">
        <f>ROUND(10596101,2)</f>
        <v>10596101</v>
      </c>
      <c r="H120" s="10">
        <f>ROUND(0,2)</f>
        <v>0</v>
      </c>
      <c r="I120" s="10">
        <f>ROUND(564101,2)</f>
        <v>564101</v>
      </c>
      <c r="J120" s="10">
        <f>ROUND(0,2)</f>
        <v>0</v>
      </c>
      <c r="K120" s="10">
        <f>ROUND(564101,2)</f>
        <v>564101</v>
      </c>
    </row>
    <row r="121" spans="1:11" ht="63.75">
      <c r="A121" s="8" t="s">
        <v>187</v>
      </c>
      <c r="B121" s="9" t="s">
        <v>215</v>
      </c>
      <c r="C121" s="9" t="s">
        <v>271</v>
      </c>
      <c r="D121" s="10">
        <f>ROUND(212317800,2)</f>
        <v>212317800</v>
      </c>
      <c r="E121" s="10">
        <f aca="true" t="shared" si="21" ref="E121:E135">ROUND(0,2)</f>
        <v>0</v>
      </c>
      <c r="F121" s="10">
        <f>ROUND(210388900,2)</f>
        <v>210388900</v>
      </c>
      <c r="G121" s="10">
        <f>ROUND(1928900,2)</f>
        <v>1928900</v>
      </c>
      <c r="H121" s="10">
        <f>ROUND(72194485.77,2)</f>
        <v>72194485.77</v>
      </c>
      <c r="I121" s="10">
        <f aca="true" t="shared" si="22" ref="I121:I135">ROUND(0,2)</f>
        <v>0</v>
      </c>
      <c r="J121" s="10">
        <f>ROUND(70454044.14,2)</f>
        <v>70454044.14</v>
      </c>
      <c r="K121" s="10">
        <f>ROUND(1740441.63,2)</f>
        <v>1740441.63</v>
      </c>
    </row>
    <row r="122" spans="1:11" ht="89.25">
      <c r="A122" s="8" t="s">
        <v>327</v>
      </c>
      <c r="B122" s="9" t="s">
        <v>85</v>
      </c>
      <c r="C122" s="9" t="s">
        <v>77</v>
      </c>
      <c r="D122" s="10">
        <f>ROUND(1928900,2)</f>
        <v>1928900</v>
      </c>
      <c r="E122" s="10">
        <f t="shared" si="21"/>
        <v>0</v>
      </c>
      <c r="F122" s="10">
        <f>ROUND(0,2)</f>
        <v>0</v>
      </c>
      <c r="G122" s="10">
        <f>ROUND(1928900,2)</f>
        <v>1928900</v>
      </c>
      <c r="H122" s="10">
        <f>ROUND(1740441.63,2)</f>
        <v>1740441.63</v>
      </c>
      <c r="I122" s="10">
        <f t="shared" si="22"/>
        <v>0</v>
      </c>
      <c r="J122" s="10">
        <f>ROUND(0,2)</f>
        <v>0</v>
      </c>
      <c r="K122" s="10">
        <f>ROUND(1740441.63,2)</f>
        <v>1740441.63</v>
      </c>
    </row>
    <row r="123" spans="1:11" ht="102">
      <c r="A123" s="8" t="s">
        <v>89</v>
      </c>
      <c r="B123" s="9" t="s">
        <v>298</v>
      </c>
      <c r="C123" s="9" t="s">
        <v>191</v>
      </c>
      <c r="D123" s="10">
        <f>ROUND(1928900,2)</f>
        <v>1928900</v>
      </c>
      <c r="E123" s="10">
        <f t="shared" si="21"/>
        <v>0</v>
      </c>
      <c r="F123" s="10">
        <f>ROUND(0,2)</f>
        <v>0</v>
      </c>
      <c r="G123" s="10">
        <f>ROUND(1928900,2)</f>
        <v>1928900</v>
      </c>
      <c r="H123" s="10">
        <f>ROUND(1740441.63,2)</f>
        <v>1740441.63</v>
      </c>
      <c r="I123" s="10">
        <f t="shared" si="22"/>
        <v>0</v>
      </c>
      <c r="J123" s="10">
        <f>ROUND(0,2)</f>
        <v>0</v>
      </c>
      <c r="K123" s="10">
        <f>ROUND(1740441.63,2)</f>
        <v>1740441.63</v>
      </c>
    </row>
    <row r="124" spans="1:11" ht="102">
      <c r="A124" s="8" t="s">
        <v>54</v>
      </c>
      <c r="B124" s="9" t="s">
        <v>329</v>
      </c>
      <c r="C124" s="9" t="s">
        <v>424</v>
      </c>
      <c r="D124" s="10">
        <f>ROUND(251800,2)</f>
        <v>251800</v>
      </c>
      <c r="E124" s="10">
        <f t="shared" si="21"/>
        <v>0</v>
      </c>
      <c r="F124" s="10">
        <f>ROUND(251800,2)</f>
        <v>251800</v>
      </c>
      <c r="G124" s="10">
        <f aca="true" t="shared" si="23" ref="G124:G135">ROUND(0,2)</f>
        <v>0</v>
      </c>
      <c r="H124" s="10">
        <f>ROUND(49621.28,2)</f>
        <v>49621.28</v>
      </c>
      <c r="I124" s="10">
        <f t="shared" si="22"/>
        <v>0</v>
      </c>
      <c r="J124" s="10">
        <f>ROUND(49621.28,2)</f>
        <v>49621.28</v>
      </c>
      <c r="K124" s="10">
        <f aca="true" t="shared" si="24" ref="K124:K135">ROUND(0,2)</f>
        <v>0</v>
      </c>
    </row>
    <row r="125" spans="1:11" ht="114.75">
      <c r="A125" s="8" t="s">
        <v>7</v>
      </c>
      <c r="B125" s="9" t="s">
        <v>309</v>
      </c>
      <c r="C125" s="9" t="s">
        <v>288</v>
      </c>
      <c r="D125" s="10">
        <f>ROUND(251800,2)</f>
        <v>251800</v>
      </c>
      <c r="E125" s="10">
        <f t="shared" si="21"/>
        <v>0</v>
      </c>
      <c r="F125" s="10">
        <f>ROUND(251800,2)</f>
        <v>251800</v>
      </c>
      <c r="G125" s="10">
        <f t="shared" si="23"/>
        <v>0</v>
      </c>
      <c r="H125" s="10">
        <f>ROUND(49621.28,2)</f>
        <v>49621.28</v>
      </c>
      <c r="I125" s="10">
        <f t="shared" si="22"/>
        <v>0</v>
      </c>
      <c r="J125" s="10">
        <f>ROUND(49621.28,2)</f>
        <v>49621.28</v>
      </c>
      <c r="K125" s="10">
        <f t="shared" si="24"/>
        <v>0</v>
      </c>
    </row>
    <row r="126" spans="1:11" ht="89.25">
      <c r="A126" s="8" t="s">
        <v>81</v>
      </c>
      <c r="B126" s="9" t="s">
        <v>79</v>
      </c>
      <c r="C126" s="9" t="s">
        <v>199</v>
      </c>
      <c r="D126" s="10">
        <f>ROUND(2575000,2)</f>
        <v>2575000</v>
      </c>
      <c r="E126" s="10">
        <f t="shared" si="21"/>
        <v>0</v>
      </c>
      <c r="F126" s="10">
        <f>ROUND(2575000,2)</f>
        <v>2575000</v>
      </c>
      <c r="G126" s="10">
        <f t="shared" si="23"/>
        <v>0</v>
      </c>
      <c r="H126" s="10">
        <f>ROUND(639913.34,2)</f>
        <v>639913.34</v>
      </c>
      <c r="I126" s="10">
        <f t="shared" si="22"/>
        <v>0</v>
      </c>
      <c r="J126" s="10">
        <f>ROUND(639913.34,2)</f>
        <v>639913.34</v>
      </c>
      <c r="K126" s="10">
        <f t="shared" si="24"/>
        <v>0</v>
      </c>
    </row>
    <row r="127" spans="1:11" ht="89.25">
      <c r="A127" s="8" t="s">
        <v>361</v>
      </c>
      <c r="B127" s="9" t="s">
        <v>106</v>
      </c>
      <c r="C127" s="9" t="s">
        <v>219</v>
      </c>
      <c r="D127" s="10">
        <f>ROUND(2575000,2)</f>
        <v>2575000</v>
      </c>
      <c r="E127" s="10">
        <f t="shared" si="21"/>
        <v>0</v>
      </c>
      <c r="F127" s="10">
        <f>ROUND(2575000,2)</f>
        <v>2575000</v>
      </c>
      <c r="G127" s="10">
        <f t="shared" si="23"/>
        <v>0</v>
      </c>
      <c r="H127" s="10">
        <f>ROUND(639913.34,2)</f>
        <v>639913.34</v>
      </c>
      <c r="I127" s="10">
        <f t="shared" si="22"/>
        <v>0</v>
      </c>
      <c r="J127" s="10">
        <f>ROUND(639913.34,2)</f>
        <v>639913.34</v>
      </c>
      <c r="K127" s="10">
        <f t="shared" si="24"/>
        <v>0</v>
      </c>
    </row>
    <row r="128" spans="1:11" ht="89.25">
      <c r="A128" s="8" t="s">
        <v>197</v>
      </c>
      <c r="B128" s="9" t="s">
        <v>100</v>
      </c>
      <c r="C128" s="9" t="s">
        <v>105</v>
      </c>
      <c r="D128" s="10">
        <f>ROUND(56170000,2)</f>
        <v>56170000</v>
      </c>
      <c r="E128" s="10">
        <f t="shared" si="21"/>
        <v>0</v>
      </c>
      <c r="F128" s="10">
        <f>ROUND(56170000,2)</f>
        <v>56170000</v>
      </c>
      <c r="G128" s="10">
        <f t="shared" si="23"/>
        <v>0</v>
      </c>
      <c r="H128" s="10">
        <f>ROUND(19390815,2)</f>
        <v>19390815</v>
      </c>
      <c r="I128" s="10">
        <f t="shared" si="22"/>
        <v>0</v>
      </c>
      <c r="J128" s="10">
        <f>ROUND(19390815,2)</f>
        <v>19390815</v>
      </c>
      <c r="K128" s="10">
        <f t="shared" si="24"/>
        <v>0</v>
      </c>
    </row>
    <row r="129" spans="1:11" ht="102">
      <c r="A129" s="8" t="s">
        <v>316</v>
      </c>
      <c r="B129" s="9" t="s">
        <v>78</v>
      </c>
      <c r="C129" s="9" t="s">
        <v>306</v>
      </c>
      <c r="D129" s="10">
        <f>ROUND(56170000,2)</f>
        <v>56170000</v>
      </c>
      <c r="E129" s="10">
        <f t="shared" si="21"/>
        <v>0</v>
      </c>
      <c r="F129" s="10">
        <f>ROUND(56170000,2)</f>
        <v>56170000</v>
      </c>
      <c r="G129" s="10">
        <f t="shared" si="23"/>
        <v>0</v>
      </c>
      <c r="H129" s="10">
        <f>ROUND(19390815,2)</f>
        <v>19390815</v>
      </c>
      <c r="I129" s="10">
        <f t="shared" si="22"/>
        <v>0</v>
      </c>
      <c r="J129" s="10">
        <f>ROUND(19390815,2)</f>
        <v>19390815</v>
      </c>
      <c r="K129" s="10">
        <f t="shared" si="24"/>
        <v>0</v>
      </c>
    </row>
    <row r="130" spans="1:11" ht="127.5">
      <c r="A130" s="8" t="s">
        <v>133</v>
      </c>
      <c r="B130" s="9" t="s">
        <v>344</v>
      </c>
      <c r="C130" s="9" t="s">
        <v>147</v>
      </c>
      <c r="D130" s="10">
        <f>ROUND(9726000,2)</f>
        <v>9726000</v>
      </c>
      <c r="E130" s="10">
        <f t="shared" si="21"/>
        <v>0</v>
      </c>
      <c r="F130" s="10">
        <f>ROUND(9726000,2)</f>
        <v>9726000</v>
      </c>
      <c r="G130" s="10">
        <f t="shared" si="23"/>
        <v>0</v>
      </c>
      <c r="H130" s="10">
        <f>ROUND(4103774.53,2)</f>
        <v>4103774.53</v>
      </c>
      <c r="I130" s="10">
        <f t="shared" si="22"/>
        <v>0</v>
      </c>
      <c r="J130" s="10">
        <f>ROUND(4103774.53,2)</f>
        <v>4103774.53</v>
      </c>
      <c r="K130" s="10">
        <f t="shared" si="24"/>
        <v>0</v>
      </c>
    </row>
    <row r="131" spans="1:11" ht="127.5">
      <c r="A131" s="8" t="s">
        <v>340</v>
      </c>
      <c r="B131" s="9" t="s">
        <v>378</v>
      </c>
      <c r="C131" s="9" t="s">
        <v>152</v>
      </c>
      <c r="D131" s="10">
        <f>ROUND(9726000,2)</f>
        <v>9726000</v>
      </c>
      <c r="E131" s="10">
        <f t="shared" si="21"/>
        <v>0</v>
      </c>
      <c r="F131" s="10">
        <f>ROUND(9726000,2)</f>
        <v>9726000</v>
      </c>
      <c r="G131" s="10">
        <f t="shared" si="23"/>
        <v>0</v>
      </c>
      <c r="H131" s="10">
        <f>ROUND(4103774.53,2)</f>
        <v>4103774.53</v>
      </c>
      <c r="I131" s="10">
        <f t="shared" si="22"/>
        <v>0</v>
      </c>
      <c r="J131" s="10">
        <f>ROUND(4103774.53,2)</f>
        <v>4103774.53</v>
      </c>
      <c r="K131" s="10">
        <f t="shared" si="24"/>
        <v>0</v>
      </c>
    </row>
    <row r="132" spans="1:11" ht="216.75">
      <c r="A132" s="8" t="s">
        <v>334</v>
      </c>
      <c r="B132" s="9" t="s">
        <v>178</v>
      </c>
      <c r="C132" s="9" t="s">
        <v>286</v>
      </c>
      <c r="D132" s="10">
        <f>ROUND(1762000,2)</f>
        <v>1762000</v>
      </c>
      <c r="E132" s="10">
        <f t="shared" si="21"/>
        <v>0</v>
      </c>
      <c r="F132" s="10">
        <f>ROUND(1762000,2)</f>
        <v>1762000</v>
      </c>
      <c r="G132" s="10">
        <f t="shared" si="23"/>
        <v>0</v>
      </c>
      <c r="H132" s="10">
        <f>ROUND(583519.99,2)</f>
        <v>583519.99</v>
      </c>
      <c r="I132" s="10">
        <f t="shared" si="22"/>
        <v>0</v>
      </c>
      <c r="J132" s="10">
        <f>ROUND(583519.99,2)</f>
        <v>583519.99</v>
      </c>
      <c r="K132" s="10">
        <f t="shared" si="24"/>
        <v>0</v>
      </c>
    </row>
    <row r="133" spans="1:11" ht="204">
      <c r="A133" s="8" t="s">
        <v>291</v>
      </c>
      <c r="B133" s="9" t="s">
        <v>205</v>
      </c>
      <c r="C133" s="9" t="s">
        <v>140</v>
      </c>
      <c r="D133" s="10">
        <f>ROUND(1762000,2)</f>
        <v>1762000</v>
      </c>
      <c r="E133" s="10">
        <f t="shared" si="21"/>
        <v>0</v>
      </c>
      <c r="F133" s="10">
        <f>ROUND(1762000,2)</f>
        <v>1762000</v>
      </c>
      <c r="G133" s="10">
        <f t="shared" si="23"/>
        <v>0</v>
      </c>
      <c r="H133" s="10">
        <f>ROUND(583519.99,2)</f>
        <v>583519.99</v>
      </c>
      <c r="I133" s="10">
        <f t="shared" si="22"/>
        <v>0</v>
      </c>
      <c r="J133" s="10">
        <f>ROUND(583519.99,2)</f>
        <v>583519.99</v>
      </c>
      <c r="K133" s="10">
        <f t="shared" si="24"/>
        <v>0</v>
      </c>
    </row>
    <row r="134" spans="1:11" ht="25.5">
      <c r="A134" s="8" t="s">
        <v>367</v>
      </c>
      <c r="B134" s="9" t="s">
        <v>261</v>
      </c>
      <c r="C134" s="9" t="s">
        <v>93</v>
      </c>
      <c r="D134" s="10">
        <f>ROUND(139904100,2)</f>
        <v>139904100</v>
      </c>
      <c r="E134" s="10">
        <f t="shared" si="21"/>
        <v>0</v>
      </c>
      <c r="F134" s="10">
        <f>ROUND(139904100,2)</f>
        <v>139904100</v>
      </c>
      <c r="G134" s="10">
        <f t="shared" si="23"/>
        <v>0</v>
      </c>
      <c r="H134" s="10">
        <f>ROUND(45686400,2)</f>
        <v>45686400</v>
      </c>
      <c r="I134" s="10">
        <f t="shared" si="22"/>
        <v>0</v>
      </c>
      <c r="J134" s="10">
        <f>ROUND(45686400,2)</f>
        <v>45686400</v>
      </c>
      <c r="K134" s="10">
        <f t="shared" si="24"/>
        <v>0</v>
      </c>
    </row>
    <row r="135" spans="1:11" ht="51">
      <c r="A135" s="8" t="s">
        <v>252</v>
      </c>
      <c r="B135" s="9" t="s">
        <v>235</v>
      </c>
      <c r="C135" s="9" t="s">
        <v>423</v>
      </c>
      <c r="D135" s="10">
        <f>ROUND(139904100,2)</f>
        <v>139904100</v>
      </c>
      <c r="E135" s="10">
        <f t="shared" si="21"/>
        <v>0</v>
      </c>
      <c r="F135" s="10">
        <f>ROUND(139904100,2)</f>
        <v>139904100</v>
      </c>
      <c r="G135" s="10">
        <f t="shared" si="23"/>
        <v>0</v>
      </c>
      <c r="H135" s="10">
        <f>ROUND(45686400,2)</f>
        <v>45686400</v>
      </c>
      <c r="I135" s="10">
        <f t="shared" si="22"/>
        <v>0</v>
      </c>
      <c r="J135" s="10">
        <f>ROUND(45686400,2)</f>
        <v>45686400</v>
      </c>
      <c r="K135" s="10">
        <f t="shared" si="24"/>
        <v>0</v>
      </c>
    </row>
    <row r="136" spans="1:11" ht="25.5">
      <c r="A136" s="8" t="s">
        <v>325</v>
      </c>
      <c r="B136" s="9" t="s">
        <v>88</v>
      </c>
      <c r="C136" s="9" t="s">
        <v>10</v>
      </c>
      <c r="D136" s="10">
        <f>ROUND(581765,2)</f>
        <v>581765</v>
      </c>
      <c r="E136" s="10">
        <f>ROUND(44213015,2)</f>
        <v>44213015</v>
      </c>
      <c r="F136" s="10">
        <f>ROUND(581765,2)</f>
        <v>581765</v>
      </c>
      <c r="G136" s="10">
        <f>ROUND(44213015,2)</f>
        <v>44213015</v>
      </c>
      <c r="H136" s="10">
        <f>ROUND(334140,2)</f>
        <v>334140</v>
      </c>
      <c r="I136" s="10">
        <f>ROUND(11864649.86,2)</f>
        <v>11864649.86</v>
      </c>
      <c r="J136" s="10">
        <f>ROUND(334140,2)</f>
        <v>334140</v>
      </c>
      <c r="K136" s="10">
        <f>ROUND(11864649.86,2)</f>
        <v>11864649.86</v>
      </c>
    </row>
    <row r="137" spans="1:11" ht="140.25">
      <c r="A137" s="8" t="s">
        <v>353</v>
      </c>
      <c r="B137" s="9" t="s">
        <v>36</v>
      </c>
      <c r="C137" s="9" t="s">
        <v>341</v>
      </c>
      <c r="D137" s="10">
        <f>ROUND(334140,2)</f>
        <v>334140</v>
      </c>
      <c r="E137" s="10">
        <f>ROUND(35000,2)</f>
        <v>35000</v>
      </c>
      <c r="F137" s="10">
        <f>ROUND(334140,2)</f>
        <v>334140</v>
      </c>
      <c r="G137" s="10">
        <f>ROUND(35000,2)</f>
        <v>35000</v>
      </c>
      <c r="H137" s="10">
        <f>ROUND(334140,2)</f>
        <v>334140</v>
      </c>
      <c r="I137" s="10">
        <f>ROUND(0,2)</f>
        <v>0</v>
      </c>
      <c r="J137" s="10">
        <f>ROUND(334140,2)</f>
        <v>334140</v>
      </c>
      <c r="K137" s="10">
        <f>ROUND(0,2)</f>
        <v>0</v>
      </c>
    </row>
    <row r="138" spans="1:11" ht="165.75">
      <c r="A138" s="8" t="s">
        <v>366</v>
      </c>
      <c r="B138" s="9" t="s">
        <v>5</v>
      </c>
      <c r="C138" s="9" t="s">
        <v>379</v>
      </c>
      <c r="D138" s="10">
        <f>ROUND(334140,2)</f>
        <v>334140</v>
      </c>
      <c r="E138" s="10">
        <f>ROUND(0,2)</f>
        <v>0</v>
      </c>
      <c r="F138" s="10">
        <f>ROUND(334140,2)</f>
        <v>334140</v>
      </c>
      <c r="G138" s="10">
        <f>ROUND(0,2)</f>
        <v>0</v>
      </c>
      <c r="H138" s="10">
        <f>ROUND(334140,2)</f>
        <v>334140</v>
      </c>
      <c r="I138" s="10">
        <f>ROUND(0,2)</f>
        <v>0</v>
      </c>
      <c r="J138" s="10">
        <f>ROUND(334140,2)</f>
        <v>334140</v>
      </c>
      <c r="K138" s="10">
        <f>ROUND(0,2)</f>
        <v>0</v>
      </c>
    </row>
    <row r="139" spans="1:11" ht="140.25">
      <c r="A139" s="8" t="s">
        <v>192</v>
      </c>
      <c r="B139" s="9" t="s">
        <v>260</v>
      </c>
      <c r="C139" s="9" t="s">
        <v>61</v>
      </c>
      <c r="D139" s="10">
        <f>ROUND(0,2)</f>
        <v>0</v>
      </c>
      <c r="E139" s="10">
        <f>ROUND(35000,2)</f>
        <v>35000</v>
      </c>
      <c r="F139" s="10">
        <f>ROUND(0,2)</f>
        <v>0</v>
      </c>
      <c r="G139" s="10">
        <f>ROUND(35000,2)</f>
        <v>35000</v>
      </c>
      <c r="H139" s="10">
        <f aca="true" t="shared" si="25" ref="H139:H147">ROUND(0,2)</f>
        <v>0</v>
      </c>
      <c r="I139" s="10">
        <f>ROUND(0,2)</f>
        <v>0</v>
      </c>
      <c r="J139" s="10">
        <f aca="true" t="shared" si="26" ref="J139:J147">ROUND(0,2)</f>
        <v>0</v>
      </c>
      <c r="K139" s="10">
        <f>ROUND(0,2)</f>
        <v>0</v>
      </c>
    </row>
    <row r="140" spans="1:11" ht="165.75">
      <c r="A140" s="8" t="s">
        <v>457</v>
      </c>
      <c r="B140" s="9" t="s">
        <v>440</v>
      </c>
      <c r="C140" s="9" t="s">
        <v>188</v>
      </c>
      <c r="D140" s="10">
        <f>ROUND(0,2)</f>
        <v>0</v>
      </c>
      <c r="E140" s="10">
        <f>ROUND(43930390,2)</f>
        <v>43930390</v>
      </c>
      <c r="F140" s="10">
        <f>ROUND(0,2)</f>
        <v>0</v>
      </c>
      <c r="G140" s="10">
        <f>ROUND(43930390,2)</f>
        <v>43930390</v>
      </c>
      <c r="H140" s="10">
        <f t="shared" si="25"/>
        <v>0</v>
      </c>
      <c r="I140" s="10">
        <f>ROUND(11864649.86,2)</f>
        <v>11864649.86</v>
      </c>
      <c r="J140" s="10">
        <f t="shared" si="26"/>
        <v>0</v>
      </c>
      <c r="K140" s="10">
        <f>ROUND(11864649.86,2)</f>
        <v>11864649.86</v>
      </c>
    </row>
    <row r="141" spans="1:11" ht="178.5">
      <c r="A141" s="8" t="s">
        <v>449</v>
      </c>
      <c r="B141" s="9" t="s">
        <v>203</v>
      </c>
      <c r="C141" s="9" t="s">
        <v>326</v>
      </c>
      <c r="D141" s="10">
        <f>ROUND(0,2)</f>
        <v>0</v>
      </c>
      <c r="E141" s="10">
        <f>ROUND(43930390,2)</f>
        <v>43930390</v>
      </c>
      <c r="F141" s="10">
        <f>ROUND(0,2)</f>
        <v>0</v>
      </c>
      <c r="G141" s="10">
        <f>ROUND(43930390,2)</f>
        <v>43930390</v>
      </c>
      <c r="H141" s="10">
        <f t="shared" si="25"/>
        <v>0</v>
      </c>
      <c r="I141" s="10">
        <f>ROUND(11864649.86,2)</f>
        <v>11864649.86</v>
      </c>
      <c r="J141" s="10">
        <f t="shared" si="26"/>
        <v>0</v>
      </c>
      <c r="K141" s="10">
        <f>ROUND(11864649.86,2)</f>
        <v>11864649.86</v>
      </c>
    </row>
    <row r="142" spans="1:11" ht="165.75">
      <c r="A142" s="8" t="s">
        <v>333</v>
      </c>
      <c r="B142" s="9" t="s">
        <v>397</v>
      </c>
      <c r="C142" s="9" t="s">
        <v>206</v>
      </c>
      <c r="D142" s="10">
        <f>ROUND(146200,2)</f>
        <v>146200</v>
      </c>
      <c r="E142" s="10">
        <f>ROUND(146200,2)</f>
        <v>146200</v>
      </c>
      <c r="F142" s="10">
        <f>ROUND(146200,2)</f>
        <v>146200</v>
      </c>
      <c r="G142" s="10">
        <f>ROUND(146200,2)</f>
        <v>146200</v>
      </c>
      <c r="H142" s="10">
        <f t="shared" si="25"/>
        <v>0</v>
      </c>
      <c r="I142" s="10">
        <f aca="true" t="shared" si="27" ref="I142:I152">ROUND(0,2)</f>
        <v>0</v>
      </c>
      <c r="J142" s="10">
        <f t="shared" si="26"/>
        <v>0</v>
      </c>
      <c r="K142" s="10">
        <f aca="true" t="shared" si="28" ref="K142:K147">ROUND(0,2)</f>
        <v>0</v>
      </c>
    </row>
    <row r="143" spans="1:11" ht="140.25">
      <c r="A143" s="8" t="s">
        <v>416</v>
      </c>
      <c r="B143" s="9" t="s">
        <v>431</v>
      </c>
      <c r="C143" s="9" t="s">
        <v>216</v>
      </c>
      <c r="D143" s="10">
        <f>ROUND(146200,2)</f>
        <v>146200</v>
      </c>
      <c r="E143" s="10">
        <f>ROUND(0,2)</f>
        <v>0</v>
      </c>
      <c r="F143" s="10">
        <f>ROUND(146200,2)</f>
        <v>146200</v>
      </c>
      <c r="G143" s="10">
        <f>ROUND(0,2)</f>
        <v>0</v>
      </c>
      <c r="H143" s="10">
        <f t="shared" si="25"/>
        <v>0</v>
      </c>
      <c r="I143" s="10">
        <f t="shared" si="27"/>
        <v>0</v>
      </c>
      <c r="J143" s="10">
        <f t="shared" si="26"/>
        <v>0</v>
      </c>
      <c r="K143" s="10">
        <f t="shared" si="28"/>
        <v>0</v>
      </c>
    </row>
    <row r="144" spans="1:11" ht="114.75">
      <c r="A144" s="8" t="s">
        <v>224</v>
      </c>
      <c r="B144" s="9" t="s">
        <v>182</v>
      </c>
      <c r="C144" s="9" t="s">
        <v>201</v>
      </c>
      <c r="D144" s="10">
        <f>ROUND(0,2)</f>
        <v>0</v>
      </c>
      <c r="E144" s="10">
        <f>ROUND(146200,2)</f>
        <v>146200</v>
      </c>
      <c r="F144" s="10">
        <f>ROUND(0,2)</f>
        <v>0</v>
      </c>
      <c r="G144" s="10">
        <f>ROUND(146200,2)</f>
        <v>146200</v>
      </c>
      <c r="H144" s="10">
        <f t="shared" si="25"/>
        <v>0</v>
      </c>
      <c r="I144" s="10">
        <f t="shared" si="27"/>
        <v>0</v>
      </c>
      <c r="J144" s="10">
        <f t="shared" si="26"/>
        <v>0</v>
      </c>
      <c r="K144" s="10">
        <f t="shared" si="28"/>
        <v>0</v>
      </c>
    </row>
    <row r="145" spans="1:11" ht="63.75">
      <c r="A145" s="8" t="s">
        <v>255</v>
      </c>
      <c r="B145" s="9" t="s">
        <v>395</v>
      </c>
      <c r="C145" s="9" t="s">
        <v>34</v>
      </c>
      <c r="D145" s="10">
        <f>ROUND(101425,2)</f>
        <v>101425</v>
      </c>
      <c r="E145" s="10">
        <f>ROUND(101425,2)</f>
        <v>101425</v>
      </c>
      <c r="F145" s="10">
        <f>ROUND(101425,2)</f>
        <v>101425</v>
      </c>
      <c r="G145" s="10">
        <f>ROUND(101425,2)</f>
        <v>101425</v>
      </c>
      <c r="H145" s="10">
        <f t="shared" si="25"/>
        <v>0</v>
      </c>
      <c r="I145" s="10">
        <f t="shared" si="27"/>
        <v>0</v>
      </c>
      <c r="J145" s="10">
        <f t="shared" si="26"/>
        <v>0</v>
      </c>
      <c r="K145" s="10">
        <f t="shared" si="28"/>
        <v>0</v>
      </c>
    </row>
    <row r="146" spans="1:11" ht="89.25">
      <c r="A146" s="8" t="s">
        <v>265</v>
      </c>
      <c r="B146" s="9" t="s">
        <v>360</v>
      </c>
      <c r="C146" s="9" t="s">
        <v>336</v>
      </c>
      <c r="D146" s="10">
        <f>ROUND(101425,2)</f>
        <v>101425</v>
      </c>
      <c r="E146" s="10">
        <f>ROUND(0,2)</f>
        <v>0</v>
      </c>
      <c r="F146" s="10">
        <f>ROUND(101425,2)</f>
        <v>101425</v>
      </c>
      <c r="G146" s="10">
        <f>ROUND(0,2)</f>
        <v>0</v>
      </c>
      <c r="H146" s="10">
        <f t="shared" si="25"/>
        <v>0</v>
      </c>
      <c r="I146" s="10">
        <f t="shared" si="27"/>
        <v>0</v>
      </c>
      <c r="J146" s="10">
        <f t="shared" si="26"/>
        <v>0</v>
      </c>
      <c r="K146" s="10">
        <f t="shared" si="28"/>
        <v>0</v>
      </c>
    </row>
    <row r="147" spans="1:11" ht="63.75">
      <c r="A147" s="8" t="s">
        <v>0</v>
      </c>
      <c r="B147" s="9" t="s">
        <v>163</v>
      </c>
      <c r="C147" s="9" t="s">
        <v>114</v>
      </c>
      <c r="D147" s="10">
        <f>ROUND(0,2)</f>
        <v>0</v>
      </c>
      <c r="E147" s="10">
        <f>ROUND(101425,2)</f>
        <v>101425</v>
      </c>
      <c r="F147" s="10">
        <f>ROUND(0,2)</f>
        <v>0</v>
      </c>
      <c r="G147" s="10">
        <f>ROUND(101425,2)</f>
        <v>101425</v>
      </c>
      <c r="H147" s="10">
        <f t="shared" si="25"/>
        <v>0</v>
      </c>
      <c r="I147" s="10">
        <f t="shared" si="27"/>
        <v>0</v>
      </c>
      <c r="J147" s="10">
        <f t="shared" si="26"/>
        <v>0</v>
      </c>
      <c r="K147" s="10">
        <f t="shared" si="28"/>
        <v>0</v>
      </c>
    </row>
    <row r="148" spans="1:11" ht="38.25">
      <c r="A148" s="8" t="s">
        <v>346</v>
      </c>
      <c r="B148" s="9" t="s">
        <v>142</v>
      </c>
      <c r="C148" s="9" t="s">
        <v>389</v>
      </c>
      <c r="D148" s="10">
        <f>ROUND(31650200,2)</f>
        <v>31650200</v>
      </c>
      <c r="E148" s="10">
        <f>ROUND(0,2)</f>
        <v>0</v>
      </c>
      <c r="F148" s="10">
        <f>ROUND(31620200,2)</f>
        <v>31620200</v>
      </c>
      <c r="G148" s="10">
        <f>ROUND(30000,2)</f>
        <v>30000</v>
      </c>
      <c r="H148" s="10">
        <f>ROUND(378025.2,2)</f>
        <v>378025.2</v>
      </c>
      <c r="I148" s="10">
        <f t="shared" si="27"/>
        <v>0</v>
      </c>
      <c r="J148" s="10">
        <f>ROUND(353421.66,2)</f>
        <v>353421.66</v>
      </c>
      <c r="K148" s="10">
        <f>ROUND(24603.54,2)</f>
        <v>24603.54</v>
      </c>
    </row>
    <row r="149" spans="1:11" ht="76.5">
      <c r="A149" s="8" t="s">
        <v>321</v>
      </c>
      <c r="B149" s="9" t="s">
        <v>407</v>
      </c>
      <c r="C149" s="9" t="s">
        <v>14</v>
      </c>
      <c r="D149" s="10">
        <f>ROUND(31620200,2)</f>
        <v>31620200</v>
      </c>
      <c r="E149" s="10">
        <f>ROUND(0,2)</f>
        <v>0</v>
      </c>
      <c r="F149" s="10">
        <f>ROUND(31620200,2)</f>
        <v>31620200</v>
      </c>
      <c r="G149" s="10">
        <f>ROUND(0,2)</f>
        <v>0</v>
      </c>
      <c r="H149" s="10">
        <f>ROUND(353421.66,2)</f>
        <v>353421.66</v>
      </c>
      <c r="I149" s="10">
        <f t="shared" si="27"/>
        <v>0</v>
      </c>
      <c r="J149" s="10">
        <f>ROUND(353421.66,2)</f>
        <v>353421.66</v>
      </c>
      <c r="K149" s="10">
        <f>ROUND(0,2)</f>
        <v>0</v>
      </c>
    </row>
    <row r="150" spans="1:11" ht="51">
      <c r="A150" s="8" t="s">
        <v>66</v>
      </c>
      <c r="B150" s="9" t="s">
        <v>202</v>
      </c>
      <c r="C150" s="9" t="s">
        <v>296</v>
      </c>
      <c r="D150" s="10">
        <f>ROUND(30000,2)</f>
        <v>30000</v>
      </c>
      <c r="E150" s="10">
        <f>ROUND(0,2)</f>
        <v>0</v>
      </c>
      <c r="F150" s="10">
        <f>ROUND(0,2)</f>
        <v>0</v>
      </c>
      <c r="G150" s="10">
        <f>ROUND(30000,2)</f>
        <v>30000</v>
      </c>
      <c r="H150" s="10">
        <f>ROUND(24603.54,2)</f>
        <v>24603.54</v>
      </c>
      <c r="I150" s="10">
        <f t="shared" si="27"/>
        <v>0</v>
      </c>
      <c r="J150" s="10">
        <f>ROUND(0,2)</f>
        <v>0</v>
      </c>
      <c r="K150" s="10">
        <f>ROUND(24603.54,2)</f>
        <v>24603.54</v>
      </c>
    </row>
    <row r="151" spans="1:11" ht="102">
      <c r="A151" s="8" t="s">
        <v>97</v>
      </c>
      <c r="B151" s="9" t="s">
        <v>24</v>
      </c>
      <c r="C151" s="9" t="s">
        <v>422</v>
      </c>
      <c r="D151" s="10">
        <f>ROUND(0,2)</f>
        <v>0</v>
      </c>
      <c r="E151" s="10">
        <f>ROUND(0,2)</f>
        <v>0</v>
      </c>
      <c r="F151" s="10">
        <f>ROUND(0,2)</f>
        <v>0</v>
      </c>
      <c r="G151" s="10">
        <f>ROUND(0,2)</f>
        <v>0</v>
      </c>
      <c r="H151" s="10">
        <f>ROUND(-913551.39,2)</f>
        <v>-913551.39</v>
      </c>
      <c r="I151" s="10">
        <f t="shared" si="27"/>
        <v>0</v>
      </c>
      <c r="J151" s="10">
        <f>ROUND(-913551.39,2)</f>
        <v>-913551.39</v>
      </c>
      <c r="K151" s="10">
        <f>ROUND(0,2)</f>
        <v>0</v>
      </c>
    </row>
    <row r="152" spans="1:11" ht="127.5">
      <c r="A152" s="8" t="s">
        <v>456</v>
      </c>
      <c r="B152" s="9" t="s">
        <v>122</v>
      </c>
      <c r="C152" s="9" t="s">
        <v>144</v>
      </c>
      <c r="D152" s="10">
        <f>ROUND(0,2)</f>
        <v>0</v>
      </c>
      <c r="E152" s="10">
        <f>ROUND(0,2)</f>
        <v>0</v>
      </c>
      <c r="F152" s="10">
        <f>ROUND(0,2)</f>
        <v>0</v>
      </c>
      <c r="G152" s="10">
        <f>ROUND(0,2)</f>
        <v>0</v>
      </c>
      <c r="H152" s="10">
        <f>ROUND(-913551.39,2)</f>
        <v>-913551.39</v>
      </c>
      <c r="I152" s="10">
        <f t="shared" si="27"/>
        <v>0</v>
      </c>
      <c r="J152" s="10">
        <f>ROUND(-913551.39,2)</f>
        <v>-913551.39</v>
      </c>
      <c r="K152" s="10">
        <f>ROUND(0,2)</f>
        <v>0</v>
      </c>
    </row>
    <row r="153" spans="1:11" ht="12.75">
      <c r="A153" s="2" t="s">
        <v>328</v>
      </c>
      <c r="B153" s="3"/>
      <c r="C153" s="3"/>
      <c r="D153" s="3"/>
      <c r="E153" s="2" t="s">
        <v>328</v>
      </c>
      <c r="F153" s="3"/>
      <c r="G153" s="3"/>
      <c r="H153" s="3"/>
      <c r="I153" s="2" t="s">
        <v>328</v>
      </c>
      <c r="J153" s="3"/>
      <c r="K153" s="3"/>
    </row>
    <row r="154" spans="1:11" ht="12.75">
      <c r="A154" s="12" t="s">
        <v>459</v>
      </c>
      <c r="B154" s="3"/>
      <c r="C154" s="3"/>
      <c r="D154" s="3"/>
      <c r="E154" s="7"/>
      <c r="F154" s="3"/>
      <c r="G154" s="3"/>
      <c r="H154" s="3"/>
      <c r="I154" s="13" t="s">
        <v>460</v>
      </c>
      <c r="J154" s="3"/>
      <c r="K154" s="3"/>
    </row>
    <row r="155" spans="1:11" ht="12.75">
      <c r="A155" s="6"/>
      <c r="B155" s="3"/>
      <c r="C155" s="3"/>
      <c r="D155" s="3"/>
      <c r="E155" s="6"/>
      <c r="F155" s="3"/>
      <c r="G155" s="3"/>
      <c r="H155" s="3"/>
      <c r="I155" s="2"/>
      <c r="J155" s="3"/>
      <c r="K155" s="3"/>
    </row>
    <row r="156" spans="1:11" ht="12.75">
      <c r="A156" s="12" t="s">
        <v>461</v>
      </c>
      <c r="B156" s="3"/>
      <c r="C156" s="3"/>
      <c r="D156" s="3"/>
      <c r="E156" s="7"/>
      <c r="F156" s="3"/>
      <c r="G156" s="3"/>
      <c r="H156" s="3"/>
      <c r="I156" s="13" t="s">
        <v>462</v>
      </c>
      <c r="J156" s="3"/>
      <c r="K156" s="3"/>
    </row>
  </sheetData>
  <mergeCells count="21">
    <mergeCell ref="I154:K154"/>
    <mergeCell ref="I155:K155"/>
    <mergeCell ref="I156:K156"/>
    <mergeCell ref="A154:D154"/>
    <mergeCell ref="A155:D155"/>
    <mergeCell ref="A156:D156"/>
    <mergeCell ref="E153:H153"/>
    <mergeCell ref="E154:H154"/>
    <mergeCell ref="E155:H155"/>
    <mergeCell ref="E156:H156"/>
    <mergeCell ref="I1:K1"/>
    <mergeCell ref="I2:K2"/>
    <mergeCell ref="I3:K3"/>
    <mergeCell ref="A153:D153"/>
    <mergeCell ref="I153:K15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4" r:id="rId1"/>
  <headerFooter alignWithMargins="0">
    <oddHeader>&amp;RСтраница &amp;P&amp;P из &amp;N&amp;N</oddHeader>
  </headerFooter>
  <rowBreaks count="1" manualBreakCount="1"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2012-05-14T05:43:55Z</cp:lastPrinted>
  <dcterms:created xsi:type="dcterms:W3CDTF">2012-05-14T05:44:32Z</dcterms:created>
  <dcterms:modified xsi:type="dcterms:W3CDTF">2012-05-14T05:44:32Z</dcterms:modified>
  <cp:category/>
  <cp:version/>
  <cp:contentType/>
  <cp:contentStatus/>
</cp:coreProperties>
</file>