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<sst xmlns="http://schemas.openxmlformats.org/spreadsheetml/2006/main" count="480" uniqueCount="470">
  <si>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</si>
  <si>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</si>
  <si>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</si>
  <si>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</si>
  <si>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000  2  02  04012  05  0000  151</t>
  </si>
  <si>
    <t>000  1  05  02010  02  0000  110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</si>
  <si>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</si>
  <si>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</si>
  <si>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</si>
  <si>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</si>
  <si>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</si>
  <si>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</si>
  <si>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</si>
  <si>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</si>
  <si>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</si>
  <si>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</si>
  <si>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</si>
  <si>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000  1  13  01995  10  0000  130</t>
  </si>
  <si>
    <t>ДОХОДЫ ОТ ПРОДАЖИ МАТЕРИАЛЬНЫХ И НЕМАТЕРИАЛЬНЫХ АКТИВОВ</t>
  </si>
  <si>
    <t>000  2  02  02145  05  0000  151</t>
  </si>
  <si>
    <t>000  2  02  01001  05  0000  151</t>
  </si>
  <si>
    <t>000  2  19  00000  00  0000  000</t>
  </si>
  <si>
    <t>1,1503</t>
  </si>
  <si>
    <t>ПРОЧИЕ НЕНАЛОГОВЫЕ ДОХОДЫ</t>
  </si>
  <si>
    <t>000  2  02  02077  05  0000  151</t>
  </si>
  <si>
    <t>Прочие субсидии</t>
  </si>
  <si>
    <t>1,1179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</si>
  <si>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</si>
  <si>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</si>
  <si>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</si>
  <si>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</si>
  <si>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1,103</t>
  </si>
  <si>
    <t>Прочие межбюджетные трансферты, передаваемые бюджетам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</si>
  <si>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</si>
  <si>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000  2  02  04012  00  0000  151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</si>
  <si>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</si>
  <si>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</si>
  <si>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</si>
  <si>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</si>
  <si>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</si>
  <si>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</si>
  <si>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1,1838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</si>
  <si>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</si>
  <si>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</si>
  <si>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</si>
  <si>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</si>
  <si>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</si>
  <si>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</si>
  <si>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000  1  09  06000  02  0000  110</t>
  </si>
  <si>
    <t>1,940</t>
  </si>
  <si>
    <t>1,97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</si>
  <si>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</si>
  <si>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000  1  17  05050  10  0000  180</t>
  </si>
  <si>
    <t>1,19</t>
  </si>
  <si>
    <t>000  2  02  02145  00  0000  151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</si>
  <si>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</si>
  <si>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</si>
  <si>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</si>
  <si>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000  2  02  02077  00  0000  151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</si>
  <si>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</si>
  <si>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</si>
  <si>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</si>
  <si>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</si>
  <si>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</si>
  <si>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1,1221</t>
  </si>
  <si>
    <t>1,723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</si>
  <si>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</si>
  <si>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</si>
  <si>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</si>
  <si>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</si>
  <si>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1,946</t>
  </si>
  <si>
    <t>17  17 Городские и сельские поселения Исполнено</t>
  </si>
  <si>
    <t>7  7 Муниципальные районы План на год</t>
  </si>
  <si>
    <t>1,1407</t>
  </si>
  <si>
    <t>1,1501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</si>
  <si>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</si>
  <si>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</si>
  <si>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</si>
  <si>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1,1524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</si>
  <si>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</si>
  <si>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000  2  02  03021  00  0000  151</t>
  </si>
  <si>
    <t>000  1  05  03020  01  0000  110</t>
  </si>
  <si>
    <t>Прочие субсидии бюджетам поселений</t>
  </si>
  <si>
    <t>Прочие неналоговые доходы бюджетов муниципальных районов</t>
  </si>
  <si>
    <t>1,963</t>
  </si>
  <si>
    <t>000  2  02  03015  00  0000  151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</si>
  <si>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</si>
  <si>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передвижными объектами</t>
  </si>
  <si>
    <t>000  2  02  04000  00  0000  151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</si>
  <si>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</si>
  <si>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</si>
  <si>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1,2128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</si>
  <si>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</si>
  <si>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</si>
  <si>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</si>
  <si>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</si>
  <si>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</si>
  <si>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1,1834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</si>
  <si>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</si>
  <si>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</si>
  <si>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</si>
  <si>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</si>
  <si>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</si>
  <si>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</si>
  <si>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</si>
  <si>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</si>
  <si>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</si>
  <si>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1,101</t>
  </si>
  <si>
    <t>1,1039</t>
  </si>
  <si>
    <t>1,215</t>
  </si>
  <si>
    <t>000  1  14  02053  10  0000  410</t>
  </si>
  <si>
    <t>Государственная пошлина по делам, рассматриваемым в судах общей юрисдикции, мировыми судьями</t>
  </si>
  <si>
    <t>1,661</t>
  </si>
  <si>
    <t>Прочие межбюджетные трансферты, передаваемые бюджетам поселений</t>
  </si>
  <si>
    <t>Налог с продаж</t>
  </si>
  <si>
    <t>000  1  16  00000  00  0000  000</t>
  </si>
  <si>
    <t>1,1764</t>
  </si>
  <si>
    <t>000  1  06  06010  00  0000  110</t>
  </si>
  <si>
    <t>Плата за размещение отходов производства и потребления</t>
  </si>
  <si>
    <t>000  2  02  02089  10  0001  151</t>
  </si>
  <si>
    <t>000  1  05  02000  02  0000  110</t>
  </si>
  <si>
    <t>000  2  19  05000  05  0000  151</t>
  </si>
  <si>
    <t>000  1  16  25000  00  0000  140</t>
  </si>
  <si>
    <t>1,2195</t>
  </si>
  <si>
    <t>1,1044</t>
  </si>
  <si>
    <t>1,546</t>
  </si>
  <si>
    <t>1,268</t>
  </si>
  <si>
    <t>000  1  06  01030  10  0000  110</t>
  </si>
  <si>
    <t>1,117</t>
  </si>
  <si>
    <t>000  2  02  03026  05  0000  151</t>
  </si>
  <si>
    <t>000  2  02  02999  10  0000  151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</si>
  <si>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</si>
  <si>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</si>
  <si>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</si>
  <si>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</si>
  <si>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</si>
  <si>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</si>
  <si>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</si>
  <si>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</si>
  <si>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</si>
  <si>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</si>
  <si>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</si>
  <si>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Денежные взыскания (штрафы) за нарушение земельного законодательства</t>
  </si>
  <si>
    <t>1,1741</t>
  </si>
  <si>
    <t>000  2  07  00000  00  0000  180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</si>
  <si>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</si>
  <si>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</si>
  <si>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</si>
  <si>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</si>
  <si>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</si>
  <si>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  8 Городские и сельские поселения План на год</t>
  </si>
  <si>
    <t>1,1239</t>
  </si>
  <si>
    <t>1,249</t>
  </si>
  <si>
    <t>1,1745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</si>
  <si>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</si>
  <si>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</si>
  <si>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</si>
  <si>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</si>
  <si>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</si>
  <si>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000  1  09  06010  02  0000  110</t>
  </si>
  <si>
    <t>000  1  14  02000  00  0000  000</t>
  </si>
  <si>
    <t>1,404</t>
  </si>
  <si>
    <t>Денежные взыскания (штрафы) за нарушение законодательства Российской Федерации о недрах</t>
  </si>
  <si>
    <t>000  2  02  03026  00  0000  151</t>
  </si>
  <si>
    <t>000  1  14  02050  05  0000  410</t>
  </si>
  <si>
    <t>1,1760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</si>
  <si>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</si>
  <si>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000  2  02  04999  10  0000  151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</si>
  <si>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</si>
  <si>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</si>
  <si>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</si>
  <si>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</si>
  <si>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</si>
  <si>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</si>
  <si>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1,1252</t>
  </si>
  <si>
    <t>Земельный налог (по обязательствам, возникшим до        1 января 2006 года), мобилизуемый на территориях поселений</t>
  </si>
  <si>
    <t>1,1532</t>
  </si>
  <si>
    <t>Единый налог на вмененный доход для отдельных видов деятельности</t>
  </si>
  <si>
    <t>Невыясненные поступления, зачисляемые в бюджеты муниципальных районов</t>
  </si>
  <si>
    <t>1,1743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</si>
  <si>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</si>
  <si>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000  2  02  02089  00  0000  151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</si>
  <si>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</si>
  <si>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</si>
  <si>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</si>
  <si>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</si>
  <si>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</si>
  <si>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</si>
  <si>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</si>
  <si>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</si>
  <si>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</si>
  <si>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</si>
  <si>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Прочие доходы от оказания платных услуг (работ) получателями средств бюджетов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</si>
  <si>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</si>
  <si>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</si>
  <si>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</si>
  <si>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____________________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</si>
  <si>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</si>
  <si>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000  2  02  01003  05  0000  151</t>
  </si>
  <si>
    <t>000  1  16  25010  01  0000  140</t>
  </si>
  <si>
    <t>Земельный налог (по обязательствам, возникшим до 1 января 2006 года)</t>
  </si>
  <si>
    <t>Налоги на имущество</t>
  </si>
  <si>
    <t>1,1534</t>
  </si>
  <si>
    <t>1,1497</t>
  </si>
  <si>
    <t>1,1214</t>
  </si>
  <si>
    <t>1,716</t>
  </si>
  <si>
    <t>Субвенции бюджетам муниципальных образований на ежемесячное денежное вознаграждение за классное руководство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</si>
  <si>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</si>
  <si>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</si>
  <si>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</si>
  <si>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</si>
  <si>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</si>
  <si>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</si>
  <si>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</si>
  <si>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</si>
  <si>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1,712</t>
  </si>
  <si>
    <t>000  2  02  02088  10  0000  151</t>
  </si>
  <si>
    <t>1,500</t>
  </si>
  <si>
    <t>1,1235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</si>
  <si>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</si>
  <si>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</si>
  <si>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</si>
  <si>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</si>
  <si>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</si>
  <si>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000  1  14  02053  10  0000  440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</si>
  <si>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</si>
  <si>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</si>
  <si>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1,1184</t>
  </si>
  <si>
    <t>Дотации бюджетам поселений на выравнивание бюджетной обеспеченности</t>
  </si>
  <si>
    <t>1,1373</t>
  </si>
  <si>
    <t>1,20</t>
  </si>
  <si>
    <t>1,1067</t>
  </si>
  <si>
    <t>3  3 Консолидированный  План на год</t>
  </si>
  <si>
    <t>000  1  09  04053  10  0000  110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</si>
  <si>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</si>
  <si>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</si>
  <si>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</si>
  <si>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</si>
  <si>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</si>
  <si>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</si>
  <si>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1,578</t>
  </si>
  <si>
    <t>000  2  02  03999  05  0000  151</t>
  </si>
  <si>
    <t>1,1506</t>
  </si>
  <si>
    <t>1,258</t>
  </si>
  <si>
    <t>ШТРАФЫ, САНКЦИИ, ВОЗМЕЩЕНИЕ УЩЕРБА</t>
  </si>
  <si>
    <t>000  1  05  02020  02  0000  110</t>
  </si>
  <si>
    <t>1,1839</t>
  </si>
  <si>
    <t>1,849</t>
  </si>
  <si>
    <t>1,102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</si>
  <si>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</si>
  <si>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000  1  16  90000  00  0000  140</t>
  </si>
  <si>
    <t>1,764</t>
  </si>
  <si>
    <t>1,98</t>
  </si>
  <si>
    <t>Налог на доходы физических лиц</t>
  </si>
  <si>
    <t>1,16</t>
  </si>
  <si>
    <t>000  1  14  02050  10  0000  440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</si>
  <si>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</si>
  <si>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</si>
  <si>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</si>
  <si>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000  1  17  05050  05  0000  180</t>
  </si>
  <si>
    <t>1,964</t>
  </si>
  <si>
    <t>Невыясненные поступления</t>
  </si>
  <si>
    <t>1,18</t>
  </si>
  <si>
    <t>ПЛАТЕЖИ ПРИ ПОЛЬЗОВАНИИ ПРИРОДНЫМИ РЕСУРСАМИ</t>
  </si>
  <si>
    <t>1,1527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</si>
  <si>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</si>
  <si>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</si>
  <si>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000  2  02  04012  10  0000  151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</si>
  <si>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</si>
  <si>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</si>
  <si>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</si>
  <si>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</si>
  <si>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</si>
  <si>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</si>
  <si>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1,1529</t>
  </si>
  <si>
    <t>1,1484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</si>
  <si>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</si>
  <si>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</si>
  <si>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000  2  02  02077  10  0000  151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</si>
  <si>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</si>
  <si>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</si>
  <si>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</si>
  <si>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</si>
  <si>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</si>
  <si>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</si>
  <si>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</si>
  <si>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000  1  13  01995  05  0000  130</t>
  </si>
  <si>
    <t>1,572</t>
  </si>
  <si>
    <t>000  1  12  01040  01  0000  120</t>
  </si>
  <si>
    <t>1,1710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</si>
  <si>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</si>
  <si>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</si>
  <si>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</si>
  <si>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</si>
  <si>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</si>
  <si>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</si>
  <si>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</si>
  <si>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</si>
  <si>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</si>
  <si>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1,2129</t>
  </si>
  <si>
    <t>000  1  16  25050  01  0000  140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</si>
  <si>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</si>
  <si>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</si>
  <si>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</si>
  <si>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</si>
  <si>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</si>
  <si>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000  2  02  02085  00  0000  151</t>
  </si>
  <si>
    <t>1,1402</t>
  </si>
  <si>
    <t>1,100</t>
  </si>
  <si>
    <t>000  1  14  02053  05  0000  410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</si>
  <si>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</si>
  <si>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</si>
  <si>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</si>
  <si>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</si>
  <si>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</si>
  <si>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</si>
  <si>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</si>
  <si>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</si>
  <si>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</si>
  <si>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</si>
  <si>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</si>
  <si>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</si>
  <si>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1,254</t>
  </si>
  <si>
    <t>1,664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</si>
  <si>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</si>
  <si>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000  1  06  06023  10  0000  110</t>
  </si>
  <si>
    <t>1,1406</t>
  </si>
  <si>
    <t>1,104</t>
  </si>
  <si>
    <t>1,1408</t>
  </si>
  <si>
    <t>Плата за негативное воздействие на окружающую среду</t>
  </si>
  <si>
    <t>1,947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</si>
  <si>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</si>
  <si>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</si>
  <si>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</si>
  <si>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</si>
  <si>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000  2  02  02085  05  0000  151</t>
  </si>
  <si>
    <t xml:space="preserve"> </t>
  </si>
  <si>
    <t>000  2  02  03020  00  0000  151</t>
  </si>
  <si>
    <t>1,121</t>
  </si>
  <si>
    <t>1,1737</t>
  </si>
  <si>
    <t>000  1  08  04000  01  0000  110</t>
  </si>
  <si>
    <t>000  1  09  01000  00  0000  110</t>
  </si>
  <si>
    <t>1,1236</t>
  </si>
  <si>
    <t>Прочие межбюджетные трансферты, передаваемые бюджетам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</si>
  <si>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</si>
  <si>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1,1370</t>
  </si>
  <si>
    <t>000  1  06  06020  00  0000  110</t>
  </si>
  <si>
    <t>1,1516</t>
  </si>
  <si>
    <t>1,1704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</si>
  <si>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</si>
  <si>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 бюджетам на модернизацию региональных систем общего образования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</si>
  <si>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</si>
  <si>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</si>
  <si>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</si>
  <si>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</si>
  <si>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</si>
  <si>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</si>
  <si>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1,657</t>
  </si>
  <si>
    <t>Прочие субсидии бюджетам муниципальных районов</t>
  </si>
  <si>
    <t>1,2190</t>
  </si>
  <si>
    <t>1,619</t>
  </si>
  <si>
    <t>1,1253</t>
  </si>
  <si>
    <t>000  2  02  02999  00  0000  151</t>
  </si>
  <si>
    <t>000  1  14  02050  10  0000  410</t>
  </si>
  <si>
    <t>1,503</t>
  </si>
  <si>
    <t>Плата за иные виды негативного воздействия на окружающую среду</t>
  </si>
  <si>
    <t>1,405</t>
  </si>
  <si>
    <t>000  2  02  04999  05  0000  151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</si>
  <si>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</si>
  <si>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</si>
  <si>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</si>
  <si>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1,1537</t>
  </si>
  <si>
    <t>1,1045</t>
  </si>
  <si>
    <t>БЕЗВОЗМЕЗДНЫЕ ПОСТУПЛЕНИЯ ОТ ДРУГИХ БЮДЖЕТОВ БЮДЖЕТНОЙ СИСТЕМЫ РОССИЙСКОЙ ФЕДЕРАЦИИ</t>
  </si>
  <si>
    <t>000  2  02  02088  10  0001  151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</si>
  <si>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</si>
  <si>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</si>
  <si>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</si>
  <si>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</si>
  <si>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</si>
  <si>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1,1765</t>
  </si>
  <si>
    <t>1,1217</t>
  </si>
  <si>
    <t>1,267</t>
  </si>
  <si>
    <t>Невыясненные поступления, зачисляемые в бюджеты поселений</t>
  </si>
  <si>
    <t>000  2  02  03027  05  0000  151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</si>
  <si>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</si>
  <si>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</si>
  <si>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</si>
  <si>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</si>
  <si>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</si>
  <si>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</si>
  <si>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000  2  02  02999  05  0000  151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</si>
  <si>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</si>
  <si>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</si>
  <si>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</si>
  <si>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</si>
  <si>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</si>
  <si>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</si>
  <si>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</si>
  <si>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</si>
  <si>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000  2  02  04999  00  0000  151</t>
  </si>
  <si>
    <t>1,770</t>
  </si>
  <si>
    <t>000  2  02  04025  00  0000  151</t>
  </si>
  <si>
    <t>000  2  02  01999  10  0000  151</t>
  </si>
  <si>
    <t>1,501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</si>
  <si>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</si>
  <si>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</si>
  <si>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</si>
  <si>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</si>
  <si>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</si>
  <si>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</si>
  <si>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1,1043</t>
  </si>
  <si>
    <t>Код показателя</t>
  </si>
  <si>
    <t>000  2  07  05000  05  0000  180</t>
  </si>
  <si>
    <t>1,1479</t>
  </si>
  <si>
    <t>1,655</t>
  </si>
  <si>
    <t>1,409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</si>
  <si>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</si>
  <si>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</si>
  <si>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</si>
  <si>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000  2  02  02089  10  0000  151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</si>
  <si>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</si>
  <si>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</si>
  <si>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</si>
  <si>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</si>
  <si>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</si>
  <si>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1,1185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</si>
  <si>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</si>
  <si>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</si>
  <si>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</si>
  <si>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</si>
  <si>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</si>
  <si>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1,1708</t>
  </si>
  <si>
    <t>1,84</t>
  </si>
  <si>
    <t>000  1  11  00000  00  0000  000</t>
  </si>
  <si>
    <t>000  1  01  02040  01  0000  110</t>
  </si>
  <si>
    <t>000  1  09  00000  00  0000  000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</si>
  <si>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</si>
  <si>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</si>
  <si>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1,2118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</si>
  <si>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</si>
  <si>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</si>
  <si>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</si>
  <si>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</si>
  <si>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1,3</t>
  </si>
  <si>
    <t>000  2  02  02088  00  0000  151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</si>
  <si>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</si>
  <si>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</si>
  <si>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</si>
  <si>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</si>
  <si>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</si>
  <si>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</si>
  <si>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</si>
  <si>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</si>
  <si>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</si>
  <si>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</si>
  <si>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1,1742</t>
  </si>
  <si>
    <t>1,611</t>
  </si>
  <si>
    <t>000  1  17  01050  10  0000  180</t>
  </si>
  <si>
    <t>1,1049</t>
  </si>
  <si>
    <t>1,717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</si>
  <si>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</si>
  <si>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модернизацию региональных систем общего образования</t>
  </si>
  <si>
    <t>1,545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</si>
  <si>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</si>
  <si>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 бюджета - отчет на 01.07.2012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</si>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</sst>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imes New Roman CYR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7" fontId="4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="60" workbookViewId="0" topLeftCell="A142">
      <selection activeCell="A156" sqref="A156:K158"/>
    </sheetView>
  </sheetViews>
  <sheetFormatPr defaultColWidth="9.140625" defaultRowHeight="12.75"/>
  <cols>
    <col min="1" max="1" width="6.421875" style="0" customWidth="1"/>
    <col min="2" max="2" width="27.7109375" style="0" customWidth="1"/>
    <col min="3" max="3" width="23.57421875" style="0" customWidth="1"/>
    <col min="4" max="4" width="14.00390625" style="0" customWidth="1"/>
    <col min="5" max="5" width="14.7109375" style="0" customWidth="1"/>
    <col min="6" max="7" width="14.57421875" style="0" customWidth="1"/>
    <col min="8" max="8" width="16.00390625" style="0" customWidth="1"/>
    <col min="9" max="9" width="14.00390625" style="0" customWidth="1"/>
    <col min="10" max="10" width="15.57421875" style="0" customWidth="1"/>
    <col min="11" max="11" width="13.8515625" style="0" customWidth="1"/>
  </cols>
  <sheetData>
    <row r="1" spans="1:11" ht="12.75">
      <c r="A1" s="2"/>
      <c r="B1" s="3"/>
      <c r="C1" s="3"/>
      <c r="D1" s="3"/>
      <c r="E1" s="4" t="s">
        <v>314</v>
      </c>
      <c r="F1" s="3"/>
      <c r="G1" s="3"/>
      <c r="H1" s="3"/>
      <c r="I1" s="5" t="s">
        <v>399</v>
      </c>
      <c r="J1" s="3"/>
      <c r="K1" s="3"/>
    </row>
    <row r="2" spans="1:11" ht="12.75">
      <c r="A2" s="2"/>
      <c r="B2" s="3"/>
      <c r="C2" s="3"/>
      <c r="D2" s="3"/>
      <c r="E2" s="6" t="s">
        <v>465</v>
      </c>
      <c r="F2" s="3"/>
      <c r="G2" s="3"/>
      <c r="H2" s="3"/>
      <c r="I2" s="5" t="s">
        <v>236</v>
      </c>
      <c r="J2" s="3"/>
      <c r="K2" s="3"/>
    </row>
    <row r="3" spans="1:11" ht="12.75">
      <c r="A3" s="2" t="s">
        <v>336</v>
      </c>
      <c r="B3" s="3"/>
      <c r="C3" s="3"/>
      <c r="D3" s="3"/>
      <c r="E3" s="4" t="s">
        <v>1</v>
      </c>
      <c r="F3" s="3"/>
      <c r="G3" s="3"/>
      <c r="H3" s="3"/>
      <c r="I3" s="2" t="s">
        <v>336</v>
      </c>
      <c r="J3" s="3"/>
      <c r="K3" s="3"/>
    </row>
    <row r="4" spans="1:11" ht="72">
      <c r="A4" s="1" t="s">
        <v>89</v>
      </c>
      <c r="B4" s="1" t="s">
        <v>412</v>
      </c>
      <c r="C4" s="1" t="s">
        <v>272</v>
      </c>
      <c r="D4" s="1" t="s">
        <v>232</v>
      </c>
      <c r="E4" s="1" t="s">
        <v>138</v>
      </c>
      <c r="F4" s="1" t="s">
        <v>72</v>
      </c>
      <c r="G4" s="1" t="s">
        <v>150</v>
      </c>
      <c r="H4" s="1" t="s">
        <v>39</v>
      </c>
      <c r="I4" s="1" t="s">
        <v>332</v>
      </c>
      <c r="J4" s="1" t="s">
        <v>10</v>
      </c>
      <c r="K4" s="1" t="s">
        <v>71</v>
      </c>
    </row>
    <row r="5" spans="1:11" ht="23.25">
      <c r="A5" s="7" t="s">
        <v>398</v>
      </c>
      <c r="B5" s="8" t="s">
        <v>321</v>
      </c>
      <c r="C5" s="8" t="s">
        <v>281</v>
      </c>
      <c r="D5" s="9">
        <f>ROUND(959474413,2)</f>
        <v>959474413</v>
      </c>
      <c r="E5" s="9">
        <f>ROUND(90924978,2)</f>
        <v>90924978</v>
      </c>
      <c r="F5" s="9">
        <f>ROUND(868804074,2)</f>
        <v>868804074</v>
      </c>
      <c r="G5" s="9">
        <f>ROUND(181595317,2)</f>
        <v>181595317</v>
      </c>
      <c r="H5" s="9">
        <f>ROUND(447291978.3,2)</f>
        <v>447291978.3</v>
      </c>
      <c r="I5" s="9">
        <f>ROUND(31096469.22,2)</f>
        <v>31096469.22</v>
      </c>
      <c r="J5" s="9">
        <f>ROUND(398225466.01,2)</f>
        <v>398225466.01</v>
      </c>
      <c r="K5" s="9">
        <f>ROUND(80162981.51,2)</f>
        <v>80162981.51</v>
      </c>
    </row>
    <row r="6" spans="1:11" ht="23.25">
      <c r="A6" s="7" t="s">
        <v>187</v>
      </c>
      <c r="B6" s="8" t="s">
        <v>60</v>
      </c>
      <c r="C6" s="8" t="s">
        <v>280</v>
      </c>
      <c r="D6" s="9">
        <f>ROUND(172257400,2)</f>
        <v>172257400</v>
      </c>
      <c r="E6" s="9">
        <f aca="true" t="shared" si="0" ref="E6:E37">ROUND(0,2)</f>
        <v>0</v>
      </c>
      <c r="F6" s="9">
        <f>ROUND(95608900,2)</f>
        <v>95608900</v>
      </c>
      <c r="G6" s="9">
        <f>ROUND(76648500,2)</f>
        <v>76648500</v>
      </c>
      <c r="H6" s="9">
        <f>ROUND(80249074.47,2)</f>
        <v>80249074.47</v>
      </c>
      <c r="I6" s="9">
        <f aca="true" t="shared" si="1" ref="I6:I37">ROUND(0,2)</f>
        <v>0</v>
      </c>
      <c r="J6" s="9">
        <f>ROUND(45014546.35,2)</f>
        <v>45014546.35</v>
      </c>
      <c r="K6" s="9">
        <f>ROUND(35234528.12,2)</f>
        <v>35234528.12</v>
      </c>
    </row>
    <row r="7" spans="1:11" ht="23.25">
      <c r="A7" s="7" t="s">
        <v>444</v>
      </c>
      <c r="B7" s="8" t="s">
        <v>356</v>
      </c>
      <c r="C7" s="8" t="s">
        <v>443</v>
      </c>
      <c r="D7" s="9">
        <f>ROUND(73693573,2)</f>
        <v>73693573</v>
      </c>
      <c r="E7" s="9">
        <f t="shared" si="0"/>
        <v>0</v>
      </c>
      <c r="F7" s="9">
        <f>ROUND(61323500,2)</f>
        <v>61323500</v>
      </c>
      <c r="G7" s="9">
        <f>ROUND(12370073,2)</f>
        <v>12370073</v>
      </c>
      <c r="H7" s="9">
        <f>ROUND(39588455.72,2)</f>
        <v>39588455.72</v>
      </c>
      <c r="I7" s="9">
        <f t="shared" si="1"/>
        <v>0</v>
      </c>
      <c r="J7" s="9">
        <f>ROUND(32878547.88,2)</f>
        <v>32878547.88</v>
      </c>
      <c r="K7" s="9">
        <f>ROUND(6709907.84,2)</f>
        <v>6709907.84</v>
      </c>
    </row>
    <row r="8" spans="1:11" ht="23.25">
      <c r="A8" s="7" t="s">
        <v>254</v>
      </c>
      <c r="B8" s="8" t="s">
        <v>67</v>
      </c>
      <c r="C8" s="8" t="s">
        <v>253</v>
      </c>
      <c r="D8" s="9">
        <f>ROUND(73693573,2)</f>
        <v>73693573</v>
      </c>
      <c r="E8" s="9">
        <f t="shared" si="0"/>
        <v>0</v>
      </c>
      <c r="F8" s="9">
        <f>ROUND(61323500,2)</f>
        <v>61323500</v>
      </c>
      <c r="G8" s="9">
        <f>ROUND(12370073,2)</f>
        <v>12370073</v>
      </c>
      <c r="H8" s="9">
        <f>ROUND(39588455.72,2)</f>
        <v>39588455.72</v>
      </c>
      <c r="I8" s="9">
        <f t="shared" si="1"/>
        <v>0</v>
      </c>
      <c r="J8" s="9">
        <f>ROUND(32878547.88,2)</f>
        <v>32878547.88</v>
      </c>
      <c r="K8" s="9">
        <f>ROUND(6709907.84,2)</f>
        <v>6709907.84</v>
      </c>
    </row>
    <row r="9" spans="1:11" ht="147">
      <c r="A9" s="7" t="s">
        <v>63</v>
      </c>
      <c r="B9" s="8" t="s">
        <v>183</v>
      </c>
      <c r="C9" s="8" t="s">
        <v>166</v>
      </c>
      <c r="D9" s="9">
        <f>ROUND(72863073,2)</f>
        <v>72863073</v>
      </c>
      <c r="E9" s="9">
        <f t="shared" si="0"/>
        <v>0</v>
      </c>
      <c r="F9" s="9">
        <f>ROUND(60617900,2)</f>
        <v>60617900</v>
      </c>
      <c r="G9" s="9">
        <f>ROUND(12245173,2)</f>
        <v>12245173</v>
      </c>
      <c r="H9" s="9">
        <f>ROUND(39299662.75,2)</f>
        <v>39299662.75</v>
      </c>
      <c r="I9" s="9">
        <f t="shared" si="1"/>
        <v>0</v>
      </c>
      <c r="J9" s="9">
        <f>ROUND(32638702.9,2)</f>
        <v>32638702.9</v>
      </c>
      <c r="K9" s="9">
        <f>ROUND(6660959.85,2)</f>
        <v>6660959.85</v>
      </c>
    </row>
    <row r="10" spans="1:11" ht="214.5">
      <c r="A10" s="7" t="s">
        <v>262</v>
      </c>
      <c r="B10" s="8" t="s">
        <v>418</v>
      </c>
      <c r="C10" s="8" t="s">
        <v>137</v>
      </c>
      <c r="D10" s="9">
        <f>ROUND(795232,2)</f>
        <v>795232</v>
      </c>
      <c r="E10" s="9">
        <f t="shared" si="0"/>
        <v>0</v>
      </c>
      <c r="F10" s="9">
        <f>ROUND(695800,2)</f>
        <v>695800</v>
      </c>
      <c r="G10" s="9">
        <f>ROUND(99432,2)</f>
        <v>99432</v>
      </c>
      <c r="H10" s="9">
        <f>ROUND(139450.68,2)</f>
        <v>139450.68</v>
      </c>
      <c r="I10" s="9">
        <f t="shared" si="1"/>
        <v>0</v>
      </c>
      <c r="J10" s="9">
        <f>ROUND(115814.95,2)</f>
        <v>115814.95</v>
      </c>
      <c r="K10" s="9">
        <f>ROUND(23635.73,2)</f>
        <v>23635.73</v>
      </c>
    </row>
    <row r="11" spans="1:11" ht="79.5">
      <c r="A11" s="7" t="s">
        <v>53</v>
      </c>
      <c r="B11" s="8" t="s">
        <v>298</v>
      </c>
      <c r="C11" s="8" t="s">
        <v>40</v>
      </c>
      <c r="D11" s="9">
        <f>ROUND(14268,2)</f>
        <v>14268</v>
      </c>
      <c r="E11" s="9">
        <f t="shared" si="0"/>
        <v>0</v>
      </c>
      <c r="F11" s="9">
        <f>ROUND(4900,2)</f>
        <v>4900</v>
      </c>
      <c r="G11" s="9">
        <f>ROUND(9368,2)</f>
        <v>9368</v>
      </c>
      <c r="H11" s="9">
        <f>ROUND(54352.29,2)</f>
        <v>54352.29</v>
      </c>
      <c r="I11" s="9">
        <f t="shared" si="1"/>
        <v>0</v>
      </c>
      <c r="J11" s="9">
        <f>ROUND(45140.03,2)</f>
        <v>45140.03</v>
      </c>
      <c r="K11" s="9">
        <f>ROUND(9212.26,2)</f>
        <v>9212.26</v>
      </c>
    </row>
    <row r="12" spans="1:11" ht="169.5">
      <c r="A12" s="7" t="s">
        <v>230</v>
      </c>
      <c r="B12" s="8" t="s">
        <v>435</v>
      </c>
      <c r="C12" s="8" t="s">
        <v>424</v>
      </c>
      <c r="D12" s="9">
        <f>ROUND(21000,2)</f>
        <v>21000</v>
      </c>
      <c r="E12" s="9">
        <f t="shared" si="0"/>
        <v>0</v>
      </c>
      <c r="F12" s="9">
        <f>ROUND(4900,2)</f>
        <v>4900</v>
      </c>
      <c r="G12" s="9">
        <f>ROUND(16100,2)</f>
        <v>16100</v>
      </c>
      <c r="H12" s="9">
        <f>ROUND(94990,2)</f>
        <v>94990</v>
      </c>
      <c r="I12" s="9">
        <f t="shared" si="1"/>
        <v>0</v>
      </c>
      <c r="J12" s="9">
        <f>ROUND(78890,2)</f>
        <v>78890</v>
      </c>
      <c r="K12" s="9">
        <f>ROUND(16100,2)</f>
        <v>16100</v>
      </c>
    </row>
    <row r="13" spans="1:11" ht="23.25">
      <c r="A13" s="7" t="s">
        <v>433</v>
      </c>
      <c r="B13" s="8" t="s">
        <v>168</v>
      </c>
      <c r="C13" s="8" t="s">
        <v>66</v>
      </c>
      <c r="D13" s="9">
        <f>ROUND(11327392,2)</f>
        <v>11327392</v>
      </c>
      <c r="E13" s="9">
        <f t="shared" si="0"/>
        <v>0</v>
      </c>
      <c r="F13" s="9">
        <f>ROUND(9191430,2)</f>
        <v>9191430</v>
      </c>
      <c r="G13" s="9">
        <f>ROUND(2135962,2)</f>
        <v>2135962</v>
      </c>
      <c r="H13" s="9">
        <f>ROUND(4734369.55,2)</f>
        <v>4734369.55</v>
      </c>
      <c r="I13" s="9">
        <f t="shared" si="1"/>
        <v>0</v>
      </c>
      <c r="J13" s="9">
        <f>ROUND(4096178.45,2)</f>
        <v>4096178.45</v>
      </c>
      <c r="K13" s="9">
        <f>ROUND(638191.1,2)</f>
        <v>638191.1</v>
      </c>
    </row>
    <row r="14" spans="1:11" ht="45.75">
      <c r="A14" s="7" t="s">
        <v>50</v>
      </c>
      <c r="B14" s="8" t="s">
        <v>120</v>
      </c>
      <c r="C14" s="8" t="s">
        <v>177</v>
      </c>
      <c r="D14" s="9">
        <f>ROUND(8444138,2)</f>
        <v>8444138</v>
      </c>
      <c r="E14" s="9">
        <f t="shared" si="0"/>
        <v>0</v>
      </c>
      <c r="F14" s="9">
        <f>ROUND(7611000,2)</f>
        <v>7611000</v>
      </c>
      <c r="G14" s="9">
        <f>ROUND(833138,2)</f>
        <v>833138</v>
      </c>
      <c r="H14" s="9">
        <f>ROUND(4078122.37,2)</f>
        <v>4078122.37</v>
      </c>
      <c r="I14" s="9">
        <f t="shared" si="1"/>
        <v>0</v>
      </c>
      <c r="J14" s="9">
        <f>ROUND(3670208.09,2)</f>
        <v>3670208.09</v>
      </c>
      <c r="K14" s="9">
        <f>ROUND(407914.28,2)</f>
        <v>407914.28</v>
      </c>
    </row>
    <row r="15" spans="1:11" ht="45.75">
      <c r="A15" s="7" t="s">
        <v>252</v>
      </c>
      <c r="B15" s="8" t="s">
        <v>5</v>
      </c>
      <c r="C15" s="8" t="s">
        <v>177</v>
      </c>
      <c r="D15" s="9">
        <f>ROUND(7231116,2)</f>
        <v>7231116</v>
      </c>
      <c r="E15" s="9">
        <f t="shared" si="0"/>
        <v>0</v>
      </c>
      <c r="F15" s="9">
        <f>ROUND(6512100,2)</f>
        <v>6512100</v>
      </c>
      <c r="G15" s="9">
        <f>ROUND(719016,2)</f>
        <v>719016</v>
      </c>
      <c r="H15" s="9">
        <f>ROUND(4068932.13,2)</f>
        <v>4068932.13</v>
      </c>
      <c r="I15" s="9">
        <f t="shared" si="1"/>
        <v>0</v>
      </c>
      <c r="J15" s="9">
        <f>ROUND(3662038.96,2)</f>
        <v>3662038.96</v>
      </c>
      <c r="K15" s="9">
        <f>ROUND(406893.17,2)</f>
        <v>406893.17</v>
      </c>
    </row>
    <row r="16" spans="1:11" ht="79.5">
      <c r="A16" s="7" t="s">
        <v>36</v>
      </c>
      <c r="B16" s="8" t="s">
        <v>245</v>
      </c>
      <c r="C16" s="8" t="s">
        <v>173</v>
      </c>
      <c r="D16" s="9">
        <f>ROUND(1213022,2)</f>
        <v>1213022</v>
      </c>
      <c r="E16" s="9">
        <f t="shared" si="0"/>
        <v>0</v>
      </c>
      <c r="F16" s="9">
        <f>ROUND(1098900,2)</f>
        <v>1098900</v>
      </c>
      <c r="G16" s="9">
        <f>ROUND(114122,2)</f>
        <v>114122</v>
      </c>
      <c r="H16" s="9">
        <f>ROUND(9190.24,2)</f>
        <v>9190.24</v>
      </c>
      <c r="I16" s="9">
        <f t="shared" si="1"/>
        <v>0</v>
      </c>
      <c r="J16" s="9">
        <f>ROUND(8169.13,2)</f>
        <v>8169.13</v>
      </c>
      <c r="K16" s="9">
        <f>ROUND(1021.11,2)</f>
        <v>1021.11</v>
      </c>
    </row>
    <row r="17" spans="1:11" ht="34.5">
      <c r="A17" s="7" t="s">
        <v>308</v>
      </c>
      <c r="B17" s="8" t="s">
        <v>425</v>
      </c>
      <c r="C17" s="8" t="s">
        <v>9</v>
      </c>
      <c r="D17" s="9">
        <f>ROUND(2883254,2)</f>
        <v>2883254</v>
      </c>
      <c r="E17" s="9">
        <f t="shared" si="0"/>
        <v>0</v>
      </c>
      <c r="F17" s="9">
        <f>ROUND(1580430,2)</f>
        <v>1580430</v>
      </c>
      <c r="G17" s="9">
        <f>ROUND(1302824,2)</f>
        <v>1302824</v>
      </c>
      <c r="H17" s="9">
        <f>ROUND(656247.18,2)</f>
        <v>656247.18</v>
      </c>
      <c r="I17" s="9">
        <f t="shared" si="1"/>
        <v>0</v>
      </c>
      <c r="J17" s="9">
        <f>ROUND(425970.36,2)</f>
        <v>425970.36</v>
      </c>
      <c r="K17" s="9">
        <f>ROUND(230276.82,2)</f>
        <v>230276.82</v>
      </c>
    </row>
    <row r="18" spans="1:11" ht="34.5">
      <c r="A18" s="7" t="s">
        <v>107</v>
      </c>
      <c r="B18" s="8" t="s">
        <v>302</v>
      </c>
      <c r="C18" s="8" t="s">
        <v>9</v>
      </c>
      <c r="D18" s="9">
        <f>ROUND(2825584,2)</f>
        <v>2825584</v>
      </c>
      <c r="E18" s="9">
        <f t="shared" si="0"/>
        <v>0</v>
      </c>
      <c r="F18" s="9">
        <f>ROUND(1522860,2)</f>
        <v>1522860</v>
      </c>
      <c r="G18" s="9">
        <f>ROUND(1302724,2)</f>
        <v>1302724</v>
      </c>
      <c r="H18" s="9">
        <f>ROUND(691665.32,2)</f>
        <v>691665.32</v>
      </c>
      <c r="I18" s="9">
        <f t="shared" si="1"/>
        <v>0</v>
      </c>
      <c r="J18" s="9">
        <f>ROUND(449582.46,2)</f>
        <v>449582.46</v>
      </c>
      <c r="K18" s="9">
        <f>ROUND(242082.86,2)</f>
        <v>242082.86</v>
      </c>
    </row>
    <row r="19" spans="1:11" ht="57">
      <c r="A19" s="7" t="s">
        <v>248</v>
      </c>
      <c r="B19" s="8" t="s">
        <v>81</v>
      </c>
      <c r="C19" s="8" t="s">
        <v>369</v>
      </c>
      <c r="D19" s="9">
        <f>ROUND(57670,2)</f>
        <v>57670</v>
      </c>
      <c r="E19" s="9">
        <f t="shared" si="0"/>
        <v>0</v>
      </c>
      <c r="F19" s="9">
        <f>ROUND(57570,2)</f>
        <v>57570</v>
      </c>
      <c r="G19" s="9">
        <f>ROUND(100,2)</f>
        <v>100</v>
      </c>
      <c r="H19" s="9">
        <f>ROUND(-35418.14,2)</f>
        <v>-35418.14</v>
      </c>
      <c r="I19" s="9">
        <f t="shared" si="1"/>
        <v>0</v>
      </c>
      <c r="J19" s="9">
        <f>ROUND(-23612.1,2)</f>
        <v>-23612.1</v>
      </c>
      <c r="K19" s="9">
        <f>ROUND(-11806.04,2)</f>
        <v>-11806.04</v>
      </c>
    </row>
    <row r="20" spans="1:11" ht="23.25">
      <c r="A20" s="7" t="s">
        <v>31</v>
      </c>
      <c r="B20" s="8" t="s">
        <v>195</v>
      </c>
      <c r="C20" s="8" t="s">
        <v>390</v>
      </c>
      <c r="D20" s="9">
        <f>ROUND(45677206,2)</f>
        <v>45677206</v>
      </c>
      <c r="E20" s="9">
        <f t="shared" si="0"/>
        <v>0</v>
      </c>
      <c r="F20" s="9">
        <f aca="true" t="shared" si="2" ref="F20:F27">ROUND(0,2)</f>
        <v>0</v>
      </c>
      <c r="G20" s="9">
        <f>ROUND(45677206,2)</f>
        <v>45677206</v>
      </c>
      <c r="H20" s="9">
        <f>ROUND(22627781.22,2)</f>
        <v>22627781.22</v>
      </c>
      <c r="I20" s="9">
        <f t="shared" si="1"/>
        <v>0</v>
      </c>
      <c r="J20" s="9">
        <f aca="true" t="shared" si="3" ref="J20:J27">ROUND(0,2)</f>
        <v>0</v>
      </c>
      <c r="K20" s="9">
        <f>ROUND(22627781.22,2)</f>
        <v>22627781.22</v>
      </c>
    </row>
    <row r="21" spans="1:11" ht="23.25">
      <c r="A21" s="7" t="s">
        <v>327</v>
      </c>
      <c r="B21" s="8" t="s">
        <v>131</v>
      </c>
      <c r="C21" s="8" t="s">
        <v>103</v>
      </c>
      <c r="D21" s="9">
        <f>ROUND(1660340,2)</f>
        <v>1660340</v>
      </c>
      <c r="E21" s="9">
        <f t="shared" si="0"/>
        <v>0</v>
      </c>
      <c r="F21" s="9">
        <f t="shared" si="2"/>
        <v>0</v>
      </c>
      <c r="G21" s="9">
        <f>ROUND(1660340,2)</f>
        <v>1660340</v>
      </c>
      <c r="H21" s="9">
        <f>ROUND(779328.8,2)</f>
        <v>779328.8</v>
      </c>
      <c r="I21" s="9">
        <f t="shared" si="1"/>
        <v>0</v>
      </c>
      <c r="J21" s="9">
        <f t="shared" si="3"/>
        <v>0</v>
      </c>
      <c r="K21" s="9">
        <f>ROUND(779328.8,2)</f>
        <v>779328.8</v>
      </c>
    </row>
    <row r="22" spans="1:11" ht="79.5">
      <c r="A22" s="7" t="s">
        <v>276</v>
      </c>
      <c r="B22" s="8" t="s">
        <v>127</v>
      </c>
      <c r="C22" s="8" t="s">
        <v>239</v>
      </c>
      <c r="D22" s="9">
        <f>ROUND(1660340,2)</f>
        <v>1660340</v>
      </c>
      <c r="E22" s="9">
        <f t="shared" si="0"/>
        <v>0</v>
      </c>
      <c r="F22" s="9">
        <f t="shared" si="2"/>
        <v>0</v>
      </c>
      <c r="G22" s="9">
        <f>ROUND(1660340,2)</f>
        <v>1660340</v>
      </c>
      <c r="H22" s="9">
        <f>ROUND(779328.8,2)</f>
        <v>779328.8</v>
      </c>
      <c r="I22" s="9">
        <f t="shared" si="1"/>
        <v>0</v>
      </c>
      <c r="J22" s="9">
        <f t="shared" si="3"/>
        <v>0</v>
      </c>
      <c r="K22" s="9">
        <f>ROUND(779328.8,2)</f>
        <v>779328.8</v>
      </c>
    </row>
    <row r="23" spans="1:11" ht="23.25">
      <c r="A23" s="7" t="s">
        <v>397</v>
      </c>
      <c r="B23" s="8" t="s">
        <v>7</v>
      </c>
      <c r="C23" s="8" t="s">
        <v>449</v>
      </c>
      <c r="D23" s="9">
        <f>ROUND(44016866,2)</f>
        <v>44016866</v>
      </c>
      <c r="E23" s="9">
        <f t="shared" si="0"/>
        <v>0</v>
      </c>
      <c r="F23" s="9">
        <f t="shared" si="2"/>
        <v>0</v>
      </c>
      <c r="G23" s="9">
        <f>ROUND(44016866,2)</f>
        <v>44016866</v>
      </c>
      <c r="H23" s="9">
        <f>ROUND(21848452.42,2)</f>
        <v>21848452.42</v>
      </c>
      <c r="I23" s="9">
        <f t="shared" si="1"/>
        <v>0</v>
      </c>
      <c r="J23" s="9">
        <f t="shared" si="3"/>
        <v>0</v>
      </c>
      <c r="K23" s="9">
        <f>ROUND(21848452.42,2)</f>
        <v>21848452.42</v>
      </c>
    </row>
    <row r="24" spans="1:11" ht="90.75">
      <c r="A24" s="7" t="s">
        <v>128</v>
      </c>
      <c r="B24" s="8" t="s">
        <v>117</v>
      </c>
      <c r="C24" s="8" t="s">
        <v>292</v>
      </c>
      <c r="D24" s="9">
        <f>ROUND(13242433,2)</f>
        <v>13242433</v>
      </c>
      <c r="E24" s="9">
        <f t="shared" si="0"/>
        <v>0</v>
      </c>
      <c r="F24" s="9">
        <f t="shared" si="2"/>
        <v>0</v>
      </c>
      <c r="G24" s="9">
        <f>ROUND(13242433,2)</f>
        <v>13242433</v>
      </c>
      <c r="H24" s="9">
        <f>ROUND(3888495.66,2)</f>
        <v>3888495.66</v>
      </c>
      <c r="I24" s="9">
        <f t="shared" si="1"/>
        <v>0</v>
      </c>
      <c r="J24" s="9">
        <f t="shared" si="3"/>
        <v>0</v>
      </c>
      <c r="K24" s="9">
        <f>ROUND(3888495.66,2)</f>
        <v>3888495.66</v>
      </c>
    </row>
    <row r="25" spans="1:11" ht="135.75">
      <c r="A25" s="7" t="s">
        <v>338</v>
      </c>
      <c r="B25" s="8" t="s">
        <v>95</v>
      </c>
      <c r="C25" s="8" t="s">
        <v>447</v>
      </c>
      <c r="D25" s="9">
        <f>ROUND(13242433,2)</f>
        <v>13242433</v>
      </c>
      <c r="E25" s="9">
        <f t="shared" si="0"/>
        <v>0</v>
      </c>
      <c r="F25" s="9">
        <f t="shared" si="2"/>
        <v>0</v>
      </c>
      <c r="G25" s="9">
        <f>ROUND(13242433,2)</f>
        <v>13242433</v>
      </c>
      <c r="H25" s="9">
        <f>ROUND(3888495.66,2)</f>
        <v>3888495.66</v>
      </c>
      <c r="I25" s="9">
        <f t="shared" si="1"/>
        <v>0</v>
      </c>
      <c r="J25" s="9">
        <f t="shared" si="3"/>
        <v>0</v>
      </c>
      <c r="K25" s="9">
        <f>ROUND(3888495.66,2)</f>
        <v>3888495.66</v>
      </c>
    </row>
    <row r="26" spans="1:11" ht="90.75">
      <c r="A26" s="7" t="s">
        <v>11</v>
      </c>
      <c r="B26" s="8" t="s">
        <v>346</v>
      </c>
      <c r="C26" s="8" t="s">
        <v>180</v>
      </c>
      <c r="D26" s="9">
        <f>ROUND(30774433,2)</f>
        <v>30774433</v>
      </c>
      <c r="E26" s="9">
        <f t="shared" si="0"/>
        <v>0</v>
      </c>
      <c r="F26" s="9">
        <f t="shared" si="2"/>
        <v>0</v>
      </c>
      <c r="G26" s="9">
        <f>ROUND(30774433,2)</f>
        <v>30774433</v>
      </c>
      <c r="H26" s="9">
        <f>ROUND(17959956.76,2)</f>
        <v>17959956.76</v>
      </c>
      <c r="I26" s="9">
        <f t="shared" si="1"/>
        <v>0</v>
      </c>
      <c r="J26" s="9">
        <f t="shared" si="3"/>
        <v>0</v>
      </c>
      <c r="K26" s="9">
        <f>ROUND(17959956.76,2)</f>
        <v>17959956.76</v>
      </c>
    </row>
    <row r="27" spans="1:11" ht="135.75">
      <c r="A27" s="7" t="s">
        <v>61</v>
      </c>
      <c r="B27" s="8" t="s">
        <v>325</v>
      </c>
      <c r="C27" s="8" t="s">
        <v>237</v>
      </c>
      <c r="D27" s="9">
        <f>ROUND(30774433,2)</f>
        <v>30774433</v>
      </c>
      <c r="E27" s="9">
        <f t="shared" si="0"/>
        <v>0</v>
      </c>
      <c r="F27" s="9">
        <f t="shared" si="2"/>
        <v>0</v>
      </c>
      <c r="G27" s="9">
        <f>ROUND(30774433,2)</f>
        <v>30774433</v>
      </c>
      <c r="H27" s="9">
        <f>ROUND(17959956.76,2)</f>
        <v>17959956.76</v>
      </c>
      <c r="I27" s="9">
        <f t="shared" si="1"/>
        <v>0</v>
      </c>
      <c r="J27" s="9">
        <f t="shared" si="3"/>
        <v>0</v>
      </c>
      <c r="K27" s="9">
        <f>ROUND(17959956.76,2)</f>
        <v>17959956.76</v>
      </c>
    </row>
    <row r="28" spans="1:11" ht="23.25">
      <c r="A28" s="7" t="s">
        <v>285</v>
      </c>
      <c r="B28" s="8" t="s">
        <v>104</v>
      </c>
      <c r="C28" s="8" t="s">
        <v>46</v>
      </c>
      <c r="D28" s="9">
        <f>ROUND(1330130,2)</f>
        <v>1330130</v>
      </c>
      <c r="E28" s="9">
        <f t="shared" si="0"/>
        <v>0</v>
      </c>
      <c r="F28" s="9">
        <f>ROUND(650000,2)</f>
        <v>650000</v>
      </c>
      <c r="G28" s="9">
        <f>ROUND(680130,2)</f>
        <v>680130</v>
      </c>
      <c r="H28" s="9">
        <f>ROUND(630322.22,2)</f>
        <v>630322.22</v>
      </c>
      <c r="I28" s="9">
        <f t="shared" si="1"/>
        <v>0</v>
      </c>
      <c r="J28" s="9">
        <f>ROUND(372457.22,2)</f>
        <v>372457.22</v>
      </c>
      <c r="K28" s="9">
        <f>ROUND(257865,2)</f>
        <v>257865</v>
      </c>
    </row>
    <row r="29" spans="1:11" ht="57">
      <c r="A29" s="7" t="s">
        <v>157</v>
      </c>
      <c r="B29" s="8" t="s">
        <v>257</v>
      </c>
      <c r="C29" s="8" t="s">
        <v>111</v>
      </c>
      <c r="D29" s="9">
        <f>ROUND(650000,2)</f>
        <v>650000</v>
      </c>
      <c r="E29" s="9">
        <f t="shared" si="0"/>
        <v>0</v>
      </c>
      <c r="F29" s="9">
        <f>ROUND(650000,2)</f>
        <v>650000</v>
      </c>
      <c r="G29" s="9">
        <f>ROUND(0,2)</f>
        <v>0</v>
      </c>
      <c r="H29" s="9">
        <f>ROUND(372457.22,2)</f>
        <v>372457.22</v>
      </c>
      <c r="I29" s="9">
        <f t="shared" si="1"/>
        <v>0</v>
      </c>
      <c r="J29" s="9">
        <f>ROUND(372457.22,2)</f>
        <v>372457.22</v>
      </c>
      <c r="K29" s="9">
        <f>ROUND(0,2)</f>
        <v>0</v>
      </c>
    </row>
    <row r="30" spans="1:11" ht="90.75">
      <c r="A30" s="7" t="s">
        <v>453</v>
      </c>
      <c r="B30" s="8" t="s">
        <v>353</v>
      </c>
      <c r="C30" s="8" t="s">
        <v>3</v>
      </c>
      <c r="D30" s="9">
        <f>ROUND(650000,2)</f>
        <v>650000</v>
      </c>
      <c r="E30" s="9">
        <f t="shared" si="0"/>
        <v>0</v>
      </c>
      <c r="F30" s="9">
        <f>ROUND(650000,2)</f>
        <v>650000</v>
      </c>
      <c r="G30" s="9">
        <f>ROUND(0,2)</f>
        <v>0</v>
      </c>
      <c r="H30" s="9">
        <f>ROUND(372457.22,2)</f>
        <v>372457.22</v>
      </c>
      <c r="I30" s="9">
        <f t="shared" si="1"/>
        <v>0</v>
      </c>
      <c r="J30" s="9">
        <f>ROUND(372457.22,2)</f>
        <v>372457.22</v>
      </c>
      <c r="K30" s="9">
        <f>ROUND(0,2)</f>
        <v>0</v>
      </c>
    </row>
    <row r="31" spans="1:11" ht="90.75">
      <c r="A31" s="7" t="s">
        <v>387</v>
      </c>
      <c r="B31" s="8" t="s">
        <v>340</v>
      </c>
      <c r="C31" s="8" t="s">
        <v>351</v>
      </c>
      <c r="D31" s="9">
        <f>ROUND(680130,2)</f>
        <v>680130</v>
      </c>
      <c r="E31" s="9">
        <f t="shared" si="0"/>
        <v>0</v>
      </c>
      <c r="F31" s="9">
        <f aca="true" t="shared" si="4" ref="F31:F40">ROUND(0,2)</f>
        <v>0</v>
      </c>
      <c r="G31" s="9">
        <f>ROUND(680130,2)</f>
        <v>680130</v>
      </c>
      <c r="H31" s="9">
        <f>ROUND(257865,2)</f>
        <v>257865</v>
      </c>
      <c r="I31" s="9">
        <f t="shared" si="1"/>
        <v>0</v>
      </c>
      <c r="J31" s="9">
        <f>ROUND(0,2)</f>
        <v>0</v>
      </c>
      <c r="K31" s="9">
        <f>ROUND(257865,2)</f>
        <v>257865</v>
      </c>
    </row>
    <row r="32" spans="1:11" ht="135.75">
      <c r="A32" s="7" t="s">
        <v>393</v>
      </c>
      <c r="B32" s="8" t="s">
        <v>15</v>
      </c>
      <c r="C32" s="8" t="s">
        <v>56</v>
      </c>
      <c r="D32" s="9">
        <f>ROUND(680130,2)</f>
        <v>680130</v>
      </c>
      <c r="E32" s="9">
        <f t="shared" si="0"/>
        <v>0</v>
      </c>
      <c r="F32" s="9">
        <f t="shared" si="4"/>
        <v>0</v>
      </c>
      <c r="G32" s="9">
        <f>ROUND(680130,2)</f>
        <v>680130</v>
      </c>
      <c r="H32" s="9">
        <f>ROUND(257865,2)</f>
        <v>257865</v>
      </c>
      <c r="I32" s="9">
        <f t="shared" si="1"/>
        <v>0</v>
      </c>
      <c r="J32" s="9">
        <f>ROUND(0,2)</f>
        <v>0</v>
      </c>
      <c r="K32" s="9">
        <f>ROUND(257865,2)</f>
        <v>257865</v>
      </c>
    </row>
    <row r="33" spans="1:11" ht="68.25">
      <c r="A33" s="7" t="s">
        <v>313</v>
      </c>
      <c r="B33" s="8" t="s">
        <v>436</v>
      </c>
      <c r="C33" s="8" t="s">
        <v>136</v>
      </c>
      <c r="D33" s="9">
        <f aca="true" t="shared" si="5" ref="D33:D40">ROUND(0,2)</f>
        <v>0</v>
      </c>
      <c r="E33" s="9">
        <f t="shared" si="0"/>
        <v>0</v>
      </c>
      <c r="F33" s="9">
        <f t="shared" si="4"/>
        <v>0</v>
      </c>
      <c r="G33" s="9">
        <f aca="true" t="shared" si="6" ref="G33:G40">ROUND(0,2)</f>
        <v>0</v>
      </c>
      <c r="H33" s="9">
        <f>ROUND(-18010.58,2)</f>
        <v>-18010.58</v>
      </c>
      <c r="I33" s="9">
        <f t="shared" si="1"/>
        <v>0</v>
      </c>
      <c r="J33" s="9">
        <f>ROUND(-5910.9,2)</f>
        <v>-5910.9</v>
      </c>
      <c r="K33" s="9">
        <f>ROUND(-12099.68,2)</f>
        <v>-12099.68</v>
      </c>
    </row>
    <row r="34" spans="1:11" ht="57">
      <c r="A34" s="7" t="s">
        <v>109</v>
      </c>
      <c r="B34" s="8" t="s">
        <v>341</v>
      </c>
      <c r="C34" s="8" t="s">
        <v>355</v>
      </c>
      <c r="D34" s="9">
        <f t="shared" si="5"/>
        <v>0</v>
      </c>
      <c r="E34" s="9">
        <f t="shared" si="0"/>
        <v>0</v>
      </c>
      <c r="F34" s="9">
        <f t="shared" si="4"/>
        <v>0</v>
      </c>
      <c r="G34" s="9">
        <f t="shared" si="6"/>
        <v>0</v>
      </c>
      <c r="H34" s="9">
        <f>ROUND(-5895.39,2)</f>
        <v>-5895.39</v>
      </c>
      <c r="I34" s="9">
        <f t="shared" si="1"/>
        <v>0</v>
      </c>
      <c r="J34" s="9">
        <f>ROUND(-5895.39,2)</f>
        <v>-5895.39</v>
      </c>
      <c r="K34" s="9">
        <f>ROUND(0,2)</f>
        <v>0</v>
      </c>
    </row>
    <row r="35" spans="1:11" ht="90.75">
      <c r="A35" s="7" t="s">
        <v>235</v>
      </c>
      <c r="B35" s="8" t="s">
        <v>156</v>
      </c>
      <c r="C35" s="8" t="s">
        <v>277</v>
      </c>
      <c r="D35" s="9">
        <f t="shared" si="5"/>
        <v>0</v>
      </c>
      <c r="E35" s="9">
        <f t="shared" si="0"/>
        <v>0</v>
      </c>
      <c r="F35" s="9">
        <f t="shared" si="4"/>
        <v>0</v>
      </c>
      <c r="G35" s="9">
        <f t="shared" si="6"/>
        <v>0</v>
      </c>
      <c r="H35" s="9">
        <f>ROUND(-5895.39,2)</f>
        <v>-5895.39</v>
      </c>
      <c r="I35" s="9">
        <f t="shared" si="1"/>
        <v>0</v>
      </c>
      <c r="J35" s="9">
        <f>ROUND(-5895.39,2)</f>
        <v>-5895.39</v>
      </c>
      <c r="K35" s="9">
        <f>ROUND(0,2)</f>
        <v>0</v>
      </c>
    </row>
    <row r="36" spans="1:11" ht="23.25">
      <c r="A36" s="7" t="s">
        <v>152</v>
      </c>
      <c r="B36" s="8" t="s">
        <v>225</v>
      </c>
      <c r="C36" s="8" t="s">
        <v>201</v>
      </c>
      <c r="D36" s="9">
        <f t="shared" si="5"/>
        <v>0</v>
      </c>
      <c r="E36" s="9">
        <f t="shared" si="0"/>
        <v>0</v>
      </c>
      <c r="F36" s="9">
        <f t="shared" si="4"/>
        <v>0</v>
      </c>
      <c r="G36" s="9">
        <f t="shared" si="6"/>
        <v>0</v>
      </c>
      <c r="H36" s="9">
        <f>ROUND(-12099.68,2)</f>
        <v>-12099.68</v>
      </c>
      <c r="I36" s="9">
        <f t="shared" si="1"/>
        <v>0</v>
      </c>
      <c r="J36" s="9">
        <f>ROUND(0,2)</f>
        <v>0</v>
      </c>
      <c r="K36" s="9">
        <f>ROUND(-12099.68,2)</f>
        <v>-12099.68</v>
      </c>
    </row>
    <row r="37" spans="1:11" ht="45.75">
      <c r="A37" s="7" t="s">
        <v>322</v>
      </c>
      <c r="B37" s="8" t="s">
        <v>455</v>
      </c>
      <c r="C37" s="8" t="s">
        <v>200</v>
      </c>
      <c r="D37" s="9">
        <f t="shared" si="5"/>
        <v>0</v>
      </c>
      <c r="E37" s="9">
        <f t="shared" si="0"/>
        <v>0</v>
      </c>
      <c r="F37" s="9">
        <f t="shared" si="4"/>
        <v>0</v>
      </c>
      <c r="G37" s="9">
        <f t="shared" si="6"/>
        <v>0</v>
      </c>
      <c r="H37" s="9">
        <f>ROUND(-12099.68,2)</f>
        <v>-12099.68</v>
      </c>
      <c r="I37" s="9">
        <f t="shared" si="1"/>
        <v>0</v>
      </c>
      <c r="J37" s="9">
        <f>ROUND(0,2)</f>
        <v>0</v>
      </c>
      <c r="K37" s="9">
        <f>ROUND(-12099.68,2)</f>
        <v>-12099.68</v>
      </c>
    </row>
    <row r="38" spans="1:11" ht="68.25">
      <c r="A38" s="7" t="s">
        <v>243</v>
      </c>
      <c r="B38" s="8" t="s">
        <v>233</v>
      </c>
      <c r="C38" s="8" t="s">
        <v>175</v>
      </c>
      <c r="D38" s="9">
        <f t="shared" si="5"/>
        <v>0</v>
      </c>
      <c r="E38" s="9">
        <f aca="true" t="shared" si="7" ref="E38:E69">ROUND(0,2)</f>
        <v>0</v>
      </c>
      <c r="F38" s="9">
        <f t="shared" si="4"/>
        <v>0</v>
      </c>
      <c r="G38" s="9">
        <f t="shared" si="6"/>
        <v>0</v>
      </c>
      <c r="H38" s="9">
        <f>ROUND(-12099.68,2)</f>
        <v>-12099.68</v>
      </c>
      <c r="I38" s="9">
        <f aca="true" t="shared" si="8" ref="I38:I69">ROUND(0,2)</f>
        <v>0</v>
      </c>
      <c r="J38" s="9">
        <f>ROUND(0,2)</f>
        <v>0</v>
      </c>
      <c r="K38" s="9">
        <f>ROUND(-12099.68,2)</f>
        <v>-12099.68</v>
      </c>
    </row>
    <row r="39" spans="1:11" ht="45.75">
      <c r="A39" s="7" t="s">
        <v>382</v>
      </c>
      <c r="B39" s="8" t="s">
        <v>48</v>
      </c>
      <c r="C39" s="8" t="s">
        <v>408</v>
      </c>
      <c r="D39" s="9">
        <f t="shared" si="5"/>
        <v>0</v>
      </c>
      <c r="E39" s="9">
        <f t="shared" si="7"/>
        <v>0</v>
      </c>
      <c r="F39" s="9">
        <f t="shared" si="4"/>
        <v>0</v>
      </c>
      <c r="G39" s="9">
        <f t="shared" si="6"/>
        <v>0</v>
      </c>
      <c r="H39" s="9">
        <f>ROUND(-15.51,2)</f>
        <v>-15.51</v>
      </c>
      <c r="I39" s="9">
        <f t="shared" si="8"/>
        <v>0</v>
      </c>
      <c r="J39" s="9">
        <f>ROUND(-15.51,2)</f>
        <v>-15.51</v>
      </c>
      <c r="K39" s="9">
        <f>ROUND(0,2)</f>
        <v>0</v>
      </c>
    </row>
    <row r="40" spans="1:11" ht="23.25">
      <c r="A40" s="7" t="s">
        <v>126</v>
      </c>
      <c r="B40" s="8" t="s">
        <v>159</v>
      </c>
      <c r="C40" s="8" t="s">
        <v>114</v>
      </c>
      <c r="D40" s="9">
        <f t="shared" si="5"/>
        <v>0</v>
      </c>
      <c r="E40" s="9">
        <f t="shared" si="7"/>
        <v>0</v>
      </c>
      <c r="F40" s="9">
        <f t="shared" si="4"/>
        <v>0</v>
      </c>
      <c r="G40" s="9">
        <f t="shared" si="6"/>
        <v>0</v>
      </c>
      <c r="H40" s="9">
        <f>ROUND(-15.51,2)</f>
        <v>-15.51</v>
      </c>
      <c r="I40" s="9">
        <f t="shared" si="8"/>
        <v>0</v>
      </c>
      <c r="J40" s="9">
        <f>ROUND(-15.51,2)</f>
        <v>-15.51</v>
      </c>
      <c r="K40" s="9">
        <f>ROUND(0,2)</f>
        <v>0</v>
      </c>
    </row>
    <row r="41" spans="1:11" ht="79.5">
      <c r="A41" s="7" t="s">
        <v>319</v>
      </c>
      <c r="B41" s="8" t="s">
        <v>434</v>
      </c>
      <c r="C41" s="8" t="s">
        <v>377</v>
      </c>
      <c r="D41" s="9">
        <f>ROUND(24827148,2)</f>
        <v>24827148</v>
      </c>
      <c r="E41" s="9">
        <f t="shared" si="7"/>
        <v>0</v>
      </c>
      <c r="F41" s="9">
        <f>ROUND(12333249,2)</f>
        <v>12333249</v>
      </c>
      <c r="G41" s="9">
        <f>ROUND(12493899,2)</f>
        <v>12493899</v>
      </c>
      <c r="H41" s="9">
        <f>ROUND(6941935.71,2)</f>
        <v>6941935.71</v>
      </c>
      <c r="I41" s="9">
        <f t="shared" si="8"/>
        <v>0</v>
      </c>
      <c r="J41" s="9">
        <f>ROUND(3550172.65,2)</f>
        <v>3550172.65</v>
      </c>
      <c r="K41" s="9">
        <f>ROUND(3391763.06,2)</f>
        <v>3391763.06</v>
      </c>
    </row>
    <row r="42" spans="1:11" ht="169.5">
      <c r="A42" s="7" t="s">
        <v>161</v>
      </c>
      <c r="B42" s="8" t="s">
        <v>409</v>
      </c>
      <c r="C42" s="8" t="s">
        <v>266</v>
      </c>
      <c r="D42" s="9">
        <f>ROUND(24827148,2)</f>
        <v>24827148</v>
      </c>
      <c r="E42" s="9">
        <f t="shared" si="7"/>
        <v>0</v>
      </c>
      <c r="F42" s="9">
        <f>ROUND(12333249,2)</f>
        <v>12333249</v>
      </c>
      <c r="G42" s="9">
        <f>ROUND(12493899,2)</f>
        <v>12493899</v>
      </c>
      <c r="H42" s="9">
        <f>ROUND(6941935.71,2)</f>
        <v>6941935.71</v>
      </c>
      <c r="I42" s="9">
        <f t="shared" si="8"/>
        <v>0</v>
      </c>
      <c r="J42" s="9">
        <f>ROUND(3550172.65,2)</f>
        <v>3550172.65</v>
      </c>
      <c r="K42" s="9">
        <f>ROUND(3391763.06,2)</f>
        <v>3391763.06</v>
      </c>
    </row>
    <row r="43" spans="1:11" ht="124.5">
      <c r="A43" s="7" t="s">
        <v>366</v>
      </c>
      <c r="B43" s="8" t="s">
        <v>293</v>
      </c>
      <c r="C43" s="8" t="s">
        <v>27</v>
      </c>
      <c r="D43" s="9">
        <f>ROUND(24153648,2)</f>
        <v>24153648</v>
      </c>
      <c r="E43" s="9">
        <f t="shared" si="7"/>
        <v>0</v>
      </c>
      <c r="F43" s="9">
        <f>ROUND(12073249,2)</f>
        <v>12073249</v>
      </c>
      <c r="G43" s="9">
        <f>ROUND(12080399,2)</f>
        <v>12080399</v>
      </c>
      <c r="H43" s="9">
        <f>ROUND(6425367.22,2)</f>
        <v>6425367.22</v>
      </c>
      <c r="I43" s="9">
        <f t="shared" si="8"/>
        <v>0</v>
      </c>
      <c r="J43" s="9">
        <f>ROUND(3212683.27,2)</f>
        <v>3212683.27</v>
      </c>
      <c r="K43" s="9">
        <f>ROUND(3212683.95,2)</f>
        <v>3212683.95</v>
      </c>
    </row>
    <row r="44" spans="1:11" ht="147">
      <c r="A44" s="7" t="s">
        <v>416</v>
      </c>
      <c r="B44" s="8" t="s">
        <v>379</v>
      </c>
      <c r="C44" s="8" t="s">
        <v>454</v>
      </c>
      <c r="D44" s="9">
        <f>ROUND(24153648,2)</f>
        <v>24153648</v>
      </c>
      <c r="E44" s="9">
        <f t="shared" si="7"/>
        <v>0</v>
      </c>
      <c r="F44" s="9">
        <f>ROUND(12073249,2)</f>
        <v>12073249</v>
      </c>
      <c r="G44" s="9">
        <f>ROUND(12080399,2)</f>
        <v>12080399</v>
      </c>
      <c r="H44" s="9">
        <f>ROUND(6425367.22,2)</f>
        <v>6425367.22</v>
      </c>
      <c r="I44" s="9">
        <f t="shared" si="8"/>
        <v>0</v>
      </c>
      <c r="J44" s="9">
        <f>ROUND(3212683.27,2)</f>
        <v>3212683.27</v>
      </c>
      <c r="K44" s="9">
        <f>ROUND(3212683.95,2)</f>
        <v>3212683.95</v>
      </c>
    </row>
    <row r="45" spans="1:11" ht="158.25">
      <c r="A45" s="7" t="s">
        <v>441</v>
      </c>
      <c r="B45" s="8" t="s">
        <v>190</v>
      </c>
      <c r="C45" s="8" t="s">
        <v>90</v>
      </c>
      <c r="D45" s="9">
        <f>ROUND(673500,2)</f>
        <v>673500</v>
      </c>
      <c r="E45" s="9">
        <f t="shared" si="7"/>
        <v>0</v>
      </c>
      <c r="F45" s="9">
        <f>ROUND(260000,2)</f>
        <v>260000</v>
      </c>
      <c r="G45" s="9">
        <f>ROUND(413500,2)</f>
        <v>413500</v>
      </c>
      <c r="H45" s="9">
        <f>ROUND(516568.49,2)</f>
        <v>516568.49</v>
      </c>
      <c r="I45" s="9">
        <f t="shared" si="8"/>
        <v>0</v>
      </c>
      <c r="J45" s="9">
        <f>ROUND(337489.38,2)</f>
        <v>337489.38</v>
      </c>
      <c r="K45" s="9">
        <f>ROUND(179079.11,2)</f>
        <v>179079.11</v>
      </c>
    </row>
    <row r="46" spans="1:11" ht="135.75">
      <c r="A46" s="7" t="s">
        <v>98</v>
      </c>
      <c r="B46" s="8" t="s">
        <v>185</v>
      </c>
      <c r="C46" s="8" t="s">
        <v>437</v>
      </c>
      <c r="D46" s="9">
        <f>ROUND(260000,2)</f>
        <v>260000</v>
      </c>
      <c r="E46" s="9">
        <f t="shared" si="7"/>
        <v>0</v>
      </c>
      <c r="F46" s="9">
        <f>ROUND(260000,2)</f>
        <v>260000</v>
      </c>
      <c r="G46" s="9">
        <f>ROUND(0,2)</f>
        <v>0</v>
      </c>
      <c r="H46" s="9">
        <f>ROUND(337489.38,2)</f>
        <v>337489.38</v>
      </c>
      <c r="I46" s="9">
        <f t="shared" si="8"/>
        <v>0</v>
      </c>
      <c r="J46" s="9">
        <f>ROUND(337489.38,2)</f>
        <v>337489.38</v>
      </c>
      <c r="K46" s="9">
        <f>ROUND(0,2)</f>
        <v>0</v>
      </c>
    </row>
    <row r="47" spans="1:11" ht="124.5">
      <c r="A47" s="7" t="s">
        <v>283</v>
      </c>
      <c r="B47" s="8" t="s">
        <v>451</v>
      </c>
      <c r="C47" s="8" t="s">
        <v>219</v>
      </c>
      <c r="D47" s="9">
        <f>ROUND(413500,2)</f>
        <v>413500</v>
      </c>
      <c r="E47" s="9">
        <f t="shared" si="7"/>
        <v>0</v>
      </c>
      <c r="F47" s="9">
        <f>ROUND(0,2)</f>
        <v>0</v>
      </c>
      <c r="G47" s="9">
        <f>ROUND(413500,2)</f>
        <v>413500</v>
      </c>
      <c r="H47" s="9">
        <f>ROUND(179079.11,2)</f>
        <v>179079.11</v>
      </c>
      <c r="I47" s="9">
        <f t="shared" si="8"/>
        <v>0</v>
      </c>
      <c r="J47" s="9">
        <f>ROUND(0,2)</f>
        <v>0</v>
      </c>
      <c r="K47" s="9">
        <f>ROUND(179079.11,2)</f>
        <v>179079.11</v>
      </c>
    </row>
    <row r="48" spans="1:11" ht="34.5">
      <c r="A48" s="7" t="s">
        <v>312</v>
      </c>
      <c r="B48" s="8" t="s">
        <v>375</v>
      </c>
      <c r="C48" s="8" t="s">
        <v>263</v>
      </c>
      <c r="D48" s="9">
        <f>ROUND(1100000,2)</f>
        <v>1100000</v>
      </c>
      <c r="E48" s="9">
        <f t="shared" si="7"/>
        <v>0</v>
      </c>
      <c r="F48" s="9">
        <f>ROUND(1100000,2)</f>
        <v>1100000</v>
      </c>
      <c r="G48" s="9">
        <f aca="true" t="shared" si="9" ref="G48:G54">ROUND(0,2)</f>
        <v>0</v>
      </c>
      <c r="H48" s="9">
        <f>ROUND(1049053.78,2)</f>
        <v>1049053.78</v>
      </c>
      <c r="I48" s="9">
        <f t="shared" si="8"/>
        <v>0</v>
      </c>
      <c r="J48" s="9">
        <f>ROUND(1049053.78,2)</f>
        <v>1049053.78</v>
      </c>
      <c r="K48" s="9">
        <f aca="true" t="shared" si="10" ref="K48:K54">ROUND(0,2)</f>
        <v>0</v>
      </c>
    </row>
    <row r="49" spans="1:11" ht="34.5">
      <c r="A49" s="7" t="s">
        <v>102</v>
      </c>
      <c r="B49" s="8" t="s">
        <v>148</v>
      </c>
      <c r="C49" s="8" t="s">
        <v>329</v>
      </c>
      <c r="D49" s="9">
        <f>ROUND(1100000,2)</f>
        <v>1100000</v>
      </c>
      <c r="E49" s="9">
        <f t="shared" si="7"/>
        <v>0</v>
      </c>
      <c r="F49" s="9">
        <f>ROUND(1100000,2)</f>
        <v>1100000</v>
      </c>
      <c r="G49" s="9">
        <f t="shared" si="9"/>
        <v>0</v>
      </c>
      <c r="H49" s="9">
        <f>ROUND(1049053.78,2)</f>
        <v>1049053.78</v>
      </c>
      <c r="I49" s="9">
        <f t="shared" si="8"/>
        <v>0</v>
      </c>
      <c r="J49" s="9">
        <f>ROUND(1049053.78,2)</f>
        <v>1049053.78</v>
      </c>
      <c r="K49" s="9">
        <f t="shared" si="10"/>
        <v>0</v>
      </c>
    </row>
    <row r="50" spans="1:11" ht="45.75">
      <c r="A50" s="7" t="s">
        <v>316</v>
      </c>
      <c r="B50" s="8" t="s">
        <v>37</v>
      </c>
      <c r="C50" s="8" t="s">
        <v>333</v>
      </c>
      <c r="D50" s="9">
        <f>ROUND(100000,2)</f>
        <v>100000</v>
      </c>
      <c r="E50" s="9">
        <f t="shared" si="7"/>
        <v>0</v>
      </c>
      <c r="F50" s="9">
        <f>ROUND(100000,2)</f>
        <v>100000</v>
      </c>
      <c r="G50" s="9">
        <f t="shared" si="9"/>
        <v>0</v>
      </c>
      <c r="H50" s="9">
        <f>ROUND(15221.04,2)</f>
        <v>15221.04</v>
      </c>
      <c r="I50" s="9">
        <f t="shared" si="8"/>
        <v>0</v>
      </c>
      <c r="J50" s="9">
        <f>ROUND(15221.04,2)</f>
        <v>15221.04</v>
      </c>
      <c r="K50" s="9">
        <f t="shared" si="10"/>
        <v>0</v>
      </c>
    </row>
    <row r="51" spans="1:11" ht="45.75">
      <c r="A51" s="7" t="s">
        <v>217</v>
      </c>
      <c r="B51" s="8" t="s">
        <v>271</v>
      </c>
      <c r="C51" s="8" t="s">
        <v>87</v>
      </c>
      <c r="D51" s="9">
        <f>ROUND(330000,2)</f>
        <v>330000</v>
      </c>
      <c r="E51" s="9">
        <f t="shared" si="7"/>
        <v>0</v>
      </c>
      <c r="F51" s="9">
        <f>ROUND(330000,2)</f>
        <v>330000</v>
      </c>
      <c r="G51" s="9">
        <f t="shared" si="9"/>
        <v>0</v>
      </c>
      <c r="H51" s="9">
        <f>ROUND(283187.82,2)</f>
        <v>283187.82</v>
      </c>
      <c r="I51" s="9">
        <f t="shared" si="8"/>
        <v>0</v>
      </c>
      <c r="J51" s="9">
        <f>ROUND(283187.82,2)</f>
        <v>283187.82</v>
      </c>
      <c r="K51" s="9">
        <f t="shared" si="10"/>
        <v>0</v>
      </c>
    </row>
    <row r="52" spans="1:11" ht="34.5">
      <c r="A52" s="7" t="s">
        <v>404</v>
      </c>
      <c r="B52" s="8" t="s">
        <v>378</v>
      </c>
      <c r="C52" s="8" t="s">
        <v>99</v>
      </c>
      <c r="D52" s="9">
        <f>ROUND(280000,2)</f>
        <v>280000</v>
      </c>
      <c r="E52" s="9">
        <f t="shared" si="7"/>
        <v>0</v>
      </c>
      <c r="F52" s="9">
        <f>ROUND(280000,2)</f>
        <v>280000</v>
      </c>
      <c r="G52" s="9">
        <f t="shared" si="9"/>
        <v>0</v>
      </c>
      <c r="H52" s="9">
        <f>ROUND(269998.34,2)</f>
        <v>269998.34</v>
      </c>
      <c r="I52" s="9">
        <f t="shared" si="8"/>
        <v>0</v>
      </c>
      <c r="J52" s="9">
        <f>ROUND(269998.34,2)</f>
        <v>269998.34</v>
      </c>
      <c r="K52" s="9">
        <f t="shared" si="10"/>
        <v>0</v>
      </c>
    </row>
    <row r="53" spans="1:11" ht="34.5">
      <c r="A53" s="7" t="s">
        <v>169</v>
      </c>
      <c r="B53" s="8" t="s">
        <v>288</v>
      </c>
      <c r="C53" s="8" t="s">
        <v>118</v>
      </c>
      <c r="D53" s="9">
        <f>ROUND(330000,2)</f>
        <v>330000</v>
      </c>
      <c r="E53" s="9">
        <f t="shared" si="7"/>
        <v>0</v>
      </c>
      <c r="F53" s="9">
        <f>ROUND(330000,2)</f>
        <v>330000</v>
      </c>
      <c r="G53" s="9">
        <f t="shared" si="9"/>
        <v>0</v>
      </c>
      <c r="H53" s="9">
        <f>ROUND(469680.55,2)</f>
        <v>469680.55</v>
      </c>
      <c r="I53" s="9">
        <f t="shared" si="8"/>
        <v>0</v>
      </c>
      <c r="J53" s="9">
        <f>ROUND(469680.55,2)</f>
        <v>469680.55</v>
      </c>
      <c r="K53" s="9">
        <f t="shared" si="10"/>
        <v>0</v>
      </c>
    </row>
    <row r="54" spans="1:11" ht="34.5">
      <c r="A54" s="7" t="s">
        <v>364</v>
      </c>
      <c r="B54" s="8" t="s">
        <v>392</v>
      </c>
      <c r="C54" s="8" t="s">
        <v>365</v>
      </c>
      <c r="D54" s="9">
        <f>ROUND(60000,2)</f>
        <v>60000</v>
      </c>
      <c r="E54" s="9">
        <f t="shared" si="7"/>
        <v>0</v>
      </c>
      <c r="F54" s="9">
        <f>ROUND(60000,2)</f>
        <v>60000</v>
      </c>
      <c r="G54" s="9">
        <f t="shared" si="9"/>
        <v>0</v>
      </c>
      <c r="H54" s="9">
        <f>ROUND(10966.03,2)</f>
        <v>10966.03</v>
      </c>
      <c r="I54" s="9">
        <f t="shared" si="8"/>
        <v>0</v>
      </c>
      <c r="J54" s="9">
        <f>ROUND(10966.03,2)</f>
        <v>10966.03</v>
      </c>
      <c r="K54" s="9">
        <f t="shared" si="10"/>
        <v>0</v>
      </c>
    </row>
    <row r="55" spans="1:11" ht="45.75">
      <c r="A55" s="7" t="s">
        <v>463</v>
      </c>
      <c r="B55" s="8" t="s">
        <v>14</v>
      </c>
      <c r="C55" s="8" t="s">
        <v>147</v>
      </c>
      <c r="D55" s="9">
        <f>ROUND(842970,2)</f>
        <v>842970</v>
      </c>
      <c r="E55" s="9">
        <f t="shared" si="7"/>
        <v>0</v>
      </c>
      <c r="F55" s="9">
        <f>ROUND(382970,2)</f>
        <v>382970</v>
      </c>
      <c r="G55" s="9">
        <f>ROUND(460000,2)</f>
        <v>460000</v>
      </c>
      <c r="H55" s="9">
        <f>ROUND(286632.81,2)</f>
        <v>286632.81</v>
      </c>
      <c r="I55" s="9">
        <f t="shared" si="8"/>
        <v>0</v>
      </c>
      <c r="J55" s="9">
        <f>ROUND(80460.32,2)</f>
        <v>80460.32</v>
      </c>
      <c r="K55" s="9">
        <f>ROUND(206172.49,2)</f>
        <v>206172.49</v>
      </c>
    </row>
    <row r="56" spans="1:11" ht="23.25">
      <c r="A56" s="7" t="s">
        <v>125</v>
      </c>
      <c r="B56" s="8" t="s">
        <v>310</v>
      </c>
      <c r="C56" s="8" t="s">
        <v>317</v>
      </c>
      <c r="D56" s="9">
        <f>ROUND(842970,2)</f>
        <v>842970</v>
      </c>
      <c r="E56" s="9">
        <f t="shared" si="7"/>
        <v>0</v>
      </c>
      <c r="F56" s="9">
        <f>ROUND(382970,2)</f>
        <v>382970</v>
      </c>
      <c r="G56" s="9">
        <f>ROUND(460000,2)</f>
        <v>460000</v>
      </c>
      <c r="H56" s="9">
        <f>ROUND(286632.81,2)</f>
        <v>286632.81</v>
      </c>
      <c r="I56" s="9">
        <f t="shared" si="8"/>
        <v>0</v>
      </c>
      <c r="J56" s="9">
        <f>ROUND(80460.32,2)</f>
        <v>80460.32</v>
      </c>
      <c r="K56" s="9">
        <f>ROUND(206172.49,2)</f>
        <v>206172.49</v>
      </c>
    </row>
    <row r="57" spans="1:11" ht="34.5">
      <c r="A57" s="7" t="s">
        <v>287</v>
      </c>
      <c r="B57" s="8" t="s">
        <v>282</v>
      </c>
      <c r="C57" s="8" t="s">
        <v>171</v>
      </c>
      <c r="D57" s="9">
        <f>ROUND(842970,2)</f>
        <v>842970</v>
      </c>
      <c r="E57" s="9">
        <f t="shared" si="7"/>
        <v>0</v>
      </c>
      <c r="F57" s="9">
        <f>ROUND(382970,2)</f>
        <v>382970</v>
      </c>
      <c r="G57" s="9">
        <f>ROUND(460000,2)</f>
        <v>460000</v>
      </c>
      <c r="H57" s="9">
        <f>ROUND(286632.81,2)</f>
        <v>286632.81</v>
      </c>
      <c r="I57" s="9">
        <f t="shared" si="8"/>
        <v>0</v>
      </c>
      <c r="J57" s="9">
        <f>ROUND(80460.32,2)</f>
        <v>80460.32</v>
      </c>
      <c r="K57" s="9">
        <f>ROUND(206172.49,2)</f>
        <v>206172.49</v>
      </c>
    </row>
    <row r="58" spans="1:11" ht="57">
      <c r="A58" s="7" t="s">
        <v>38</v>
      </c>
      <c r="B58" s="8" t="s">
        <v>286</v>
      </c>
      <c r="C58" s="8" t="s">
        <v>192</v>
      </c>
      <c r="D58" s="9">
        <f>ROUND(382970,2)</f>
        <v>382970</v>
      </c>
      <c r="E58" s="9">
        <f t="shared" si="7"/>
        <v>0</v>
      </c>
      <c r="F58" s="9">
        <f>ROUND(382970,2)</f>
        <v>382970</v>
      </c>
      <c r="G58" s="9">
        <f>ROUND(0,2)</f>
        <v>0</v>
      </c>
      <c r="H58" s="9">
        <f>ROUND(80460.32,2)</f>
        <v>80460.32</v>
      </c>
      <c r="I58" s="9">
        <f t="shared" si="8"/>
        <v>0</v>
      </c>
      <c r="J58" s="9">
        <f>ROUND(80460.32,2)</f>
        <v>80460.32</v>
      </c>
      <c r="K58" s="9">
        <f>ROUND(0,2)</f>
        <v>0</v>
      </c>
    </row>
    <row r="59" spans="1:11" ht="57">
      <c r="A59" s="7" t="s">
        <v>240</v>
      </c>
      <c r="B59" s="8" t="s">
        <v>17</v>
      </c>
      <c r="C59" s="8" t="s">
        <v>421</v>
      </c>
      <c r="D59" s="9">
        <f>ROUND(460000,2)</f>
        <v>460000</v>
      </c>
      <c r="E59" s="9">
        <f t="shared" si="7"/>
        <v>0</v>
      </c>
      <c r="F59" s="9">
        <f>ROUND(0,2)</f>
        <v>0</v>
      </c>
      <c r="G59" s="9">
        <f>ROUND(460000,2)</f>
        <v>460000</v>
      </c>
      <c r="H59" s="9">
        <f>ROUND(206172.49,2)</f>
        <v>206172.49</v>
      </c>
      <c r="I59" s="9">
        <f t="shared" si="8"/>
        <v>0</v>
      </c>
      <c r="J59" s="9">
        <f>ROUND(0,2)</f>
        <v>0</v>
      </c>
      <c r="K59" s="9">
        <f>ROUND(206172.49,2)</f>
        <v>206172.49</v>
      </c>
    </row>
    <row r="60" spans="1:11" ht="45.75">
      <c r="A60" s="7" t="s">
        <v>457</v>
      </c>
      <c r="B60" s="8" t="s">
        <v>301</v>
      </c>
      <c r="C60" s="8" t="s">
        <v>18</v>
      </c>
      <c r="D60" s="9">
        <f>ROUND(4644838,2)</f>
        <v>4644838</v>
      </c>
      <c r="E60" s="9">
        <f t="shared" si="7"/>
        <v>0</v>
      </c>
      <c r="F60" s="9">
        <f>ROUND(3300000,2)</f>
        <v>3300000</v>
      </c>
      <c r="G60" s="9">
        <f>ROUND(1344838,2)</f>
        <v>1344838</v>
      </c>
      <c r="H60" s="9">
        <f>ROUND(173349.44,2)</f>
        <v>173349.44</v>
      </c>
      <c r="I60" s="9">
        <f t="shared" si="8"/>
        <v>0</v>
      </c>
      <c r="J60" s="9">
        <f>ROUND(76633.1,2)</f>
        <v>76633.1</v>
      </c>
      <c r="K60" s="9">
        <f>ROUND(96716.34,2)</f>
        <v>96716.34</v>
      </c>
    </row>
    <row r="61" spans="1:11" ht="147">
      <c r="A61" s="7" t="s">
        <v>360</v>
      </c>
      <c r="B61" s="8" t="s">
        <v>160</v>
      </c>
      <c r="C61" s="8" t="s">
        <v>13</v>
      </c>
      <c r="D61" s="9">
        <f>ROUND(700000,2)</f>
        <v>700000</v>
      </c>
      <c r="E61" s="9">
        <f t="shared" si="7"/>
        <v>0</v>
      </c>
      <c r="F61" s="9">
        <f>ROUND(300000,2)</f>
        <v>300000</v>
      </c>
      <c r="G61" s="9">
        <f>ROUND(400000,2)</f>
        <v>400000</v>
      </c>
      <c r="H61" s="9">
        <f>ROUND(17133.6,2)</f>
        <v>17133.6</v>
      </c>
      <c r="I61" s="9">
        <f t="shared" si="8"/>
        <v>0</v>
      </c>
      <c r="J61" s="9">
        <f aca="true" t="shared" si="11" ref="J61:J67">ROUND(0,2)</f>
        <v>0</v>
      </c>
      <c r="K61" s="9">
        <f>ROUND(17133.6,2)</f>
        <v>17133.6</v>
      </c>
    </row>
    <row r="62" spans="1:11" ht="158.25">
      <c r="A62" s="7" t="s">
        <v>415</v>
      </c>
      <c r="B62" s="8" t="s">
        <v>164</v>
      </c>
      <c r="C62" s="8" t="s">
        <v>33</v>
      </c>
      <c r="D62" s="9">
        <f>ROUND(300000,2)</f>
        <v>300000</v>
      </c>
      <c r="E62" s="9">
        <f t="shared" si="7"/>
        <v>0</v>
      </c>
      <c r="F62" s="9">
        <f>ROUND(300000,2)</f>
        <v>300000</v>
      </c>
      <c r="G62" s="9">
        <f>ROUND(0,2)</f>
        <v>0</v>
      </c>
      <c r="H62" s="9">
        <f>ROUND(0,2)</f>
        <v>0</v>
      </c>
      <c r="I62" s="9">
        <f t="shared" si="8"/>
        <v>0</v>
      </c>
      <c r="J62" s="9">
        <f t="shared" si="11"/>
        <v>0</v>
      </c>
      <c r="K62" s="9">
        <f>ROUND(0,2)</f>
        <v>0</v>
      </c>
    </row>
    <row r="63" spans="1:11" ht="169.5">
      <c r="A63" s="7" t="s">
        <v>357</v>
      </c>
      <c r="B63" s="8" t="s">
        <v>309</v>
      </c>
      <c r="C63" s="8" t="s">
        <v>214</v>
      </c>
      <c r="D63" s="9">
        <f>ROUND(300000,2)</f>
        <v>300000</v>
      </c>
      <c r="E63" s="9">
        <f t="shared" si="7"/>
        <v>0</v>
      </c>
      <c r="F63" s="9">
        <f>ROUND(300000,2)</f>
        <v>300000</v>
      </c>
      <c r="G63" s="9">
        <f>ROUND(0,2)</f>
        <v>0</v>
      </c>
      <c r="H63" s="9">
        <f>ROUND(0,2)</f>
        <v>0</v>
      </c>
      <c r="I63" s="9">
        <f t="shared" si="8"/>
        <v>0</v>
      </c>
      <c r="J63" s="9">
        <f t="shared" si="11"/>
        <v>0</v>
      </c>
      <c r="K63" s="9">
        <f>ROUND(0,2)</f>
        <v>0</v>
      </c>
    </row>
    <row r="64" spans="1:11" ht="158.25">
      <c r="A64" s="7" t="s">
        <v>112</v>
      </c>
      <c r="B64" s="8" t="s">
        <v>363</v>
      </c>
      <c r="C64" s="8" t="s">
        <v>258</v>
      </c>
      <c r="D64" s="9">
        <f>ROUND(400000,2)</f>
        <v>400000</v>
      </c>
      <c r="E64" s="9">
        <f t="shared" si="7"/>
        <v>0</v>
      </c>
      <c r="F64" s="9">
        <f>ROUND(0,2)</f>
        <v>0</v>
      </c>
      <c r="G64" s="9">
        <f>ROUND(400000,2)</f>
        <v>400000</v>
      </c>
      <c r="H64" s="9">
        <f>ROUND(20413.6,2)</f>
        <v>20413.6</v>
      </c>
      <c r="I64" s="9">
        <f t="shared" si="8"/>
        <v>0</v>
      </c>
      <c r="J64" s="9">
        <f t="shared" si="11"/>
        <v>0</v>
      </c>
      <c r="K64" s="9">
        <f>ROUND(20413.6,2)</f>
        <v>20413.6</v>
      </c>
    </row>
    <row r="65" spans="1:11" ht="158.25">
      <c r="A65" s="7" t="s">
        <v>43</v>
      </c>
      <c r="B65" s="8" t="s">
        <v>110</v>
      </c>
      <c r="C65" s="8" t="s">
        <v>395</v>
      </c>
      <c r="D65" s="9">
        <f>ROUND(400000,2)</f>
        <v>400000</v>
      </c>
      <c r="E65" s="9">
        <f t="shared" si="7"/>
        <v>0</v>
      </c>
      <c r="F65" s="9">
        <f>ROUND(0,2)</f>
        <v>0</v>
      </c>
      <c r="G65" s="9">
        <f>ROUND(400000,2)</f>
        <v>400000</v>
      </c>
      <c r="H65" s="9">
        <f>ROUND(20413.6,2)</f>
        <v>20413.6</v>
      </c>
      <c r="I65" s="9">
        <f t="shared" si="8"/>
        <v>0</v>
      </c>
      <c r="J65" s="9">
        <f t="shared" si="11"/>
        <v>0</v>
      </c>
      <c r="K65" s="9">
        <f>ROUND(20413.6,2)</f>
        <v>20413.6</v>
      </c>
    </row>
    <row r="66" spans="1:11" ht="158.25">
      <c r="A66" s="7" t="s">
        <v>323</v>
      </c>
      <c r="B66" s="8" t="s">
        <v>255</v>
      </c>
      <c r="C66" s="8" t="s">
        <v>389</v>
      </c>
      <c r="D66" s="9">
        <f>ROUND(0,2)</f>
        <v>0</v>
      </c>
      <c r="E66" s="9">
        <f t="shared" si="7"/>
        <v>0</v>
      </c>
      <c r="F66" s="9">
        <f>ROUND(0,2)</f>
        <v>0</v>
      </c>
      <c r="G66" s="9">
        <f>ROUND(0,2)</f>
        <v>0</v>
      </c>
      <c r="H66" s="9">
        <f>ROUND(-3280,2)</f>
        <v>-3280</v>
      </c>
      <c r="I66" s="9">
        <f t="shared" si="8"/>
        <v>0</v>
      </c>
      <c r="J66" s="9">
        <f t="shared" si="11"/>
        <v>0</v>
      </c>
      <c r="K66" s="9">
        <f>ROUND(-3280,2)</f>
        <v>-3280</v>
      </c>
    </row>
    <row r="67" spans="1:11" ht="158.25">
      <c r="A67" s="7" t="s">
        <v>284</v>
      </c>
      <c r="B67" s="8" t="s">
        <v>224</v>
      </c>
      <c r="C67" s="8" t="s">
        <v>461</v>
      </c>
      <c r="D67" s="9">
        <f>ROUND(0,2)</f>
        <v>0</v>
      </c>
      <c r="E67" s="9">
        <f t="shared" si="7"/>
        <v>0</v>
      </c>
      <c r="F67" s="9">
        <f>ROUND(0,2)</f>
        <v>0</v>
      </c>
      <c r="G67" s="9">
        <f>ROUND(0,2)</f>
        <v>0</v>
      </c>
      <c r="H67" s="9">
        <f>ROUND(-3280,2)</f>
        <v>-3280</v>
      </c>
      <c r="I67" s="9">
        <f t="shared" si="8"/>
        <v>0</v>
      </c>
      <c r="J67" s="9">
        <f t="shared" si="11"/>
        <v>0</v>
      </c>
      <c r="K67" s="9">
        <f>ROUND(-3280,2)</f>
        <v>-3280</v>
      </c>
    </row>
    <row r="68" spans="1:11" ht="102">
      <c r="A68" s="7" t="s">
        <v>368</v>
      </c>
      <c r="B68" s="8" t="s">
        <v>297</v>
      </c>
      <c r="C68" s="8" t="s">
        <v>295</v>
      </c>
      <c r="D68" s="9">
        <f>ROUND(3944838,2)</f>
        <v>3944838</v>
      </c>
      <c r="E68" s="9">
        <f t="shared" si="7"/>
        <v>0</v>
      </c>
      <c r="F68" s="9">
        <f>ROUND(3000000,2)</f>
        <v>3000000</v>
      </c>
      <c r="G68" s="9">
        <f>ROUND(944838,2)</f>
        <v>944838</v>
      </c>
      <c r="H68" s="9">
        <f>ROUND(156215.84,2)</f>
        <v>156215.84</v>
      </c>
      <c r="I68" s="9">
        <f t="shared" si="8"/>
        <v>0</v>
      </c>
      <c r="J68" s="9">
        <f>ROUND(76633.1,2)</f>
        <v>76633.1</v>
      </c>
      <c r="K68" s="9">
        <f>ROUND(79582.74,2)</f>
        <v>79582.74</v>
      </c>
    </row>
    <row r="69" spans="1:11" ht="57">
      <c r="A69" s="7" t="s">
        <v>215</v>
      </c>
      <c r="B69" s="8" t="s">
        <v>417</v>
      </c>
      <c r="C69" s="8" t="s">
        <v>2</v>
      </c>
      <c r="D69" s="9">
        <f>ROUND(1294838,2)</f>
        <v>1294838</v>
      </c>
      <c r="E69" s="9">
        <f t="shared" si="7"/>
        <v>0</v>
      </c>
      <c r="F69" s="9">
        <f>ROUND(650000,2)</f>
        <v>650000</v>
      </c>
      <c r="G69" s="9">
        <f>ROUND(644838,2)</f>
        <v>644838</v>
      </c>
      <c r="H69" s="9">
        <f>ROUND(153266.23,2)</f>
        <v>153266.23</v>
      </c>
      <c r="I69" s="9">
        <f t="shared" si="8"/>
        <v>0</v>
      </c>
      <c r="J69" s="9">
        <f>ROUND(76633.1,2)</f>
        <v>76633.1</v>
      </c>
      <c r="K69" s="9">
        <f>ROUND(76633.13,2)</f>
        <v>76633.13</v>
      </c>
    </row>
    <row r="70" spans="1:11" ht="79.5">
      <c r="A70" s="7" t="s">
        <v>205</v>
      </c>
      <c r="B70" s="8" t="s">
        <v>265</v>
      </c>
      <c r="C70" s="8" t="s">
        <v>62</v>
      </c>
      <c r="D70" s="9">
        <f>ROUND(1294838,2)</f>
        <v>1294838</v>
      </c>
      <c r="E70" s="9">
        <f aca="true" t="shared" si="12" ref="E70:E93">ROUND(0,2)</f>
        <v>0</v>
      </c>
      <c r="F70" s="9">
        <f>ROUND(650000,2)</f>
        <v>650000</v>
      </c>
      <c r="G70" s="9">
        <f>ROUND(644838,2)</f>
        <v>644838</v>
      </c>
      <c r="H70" s="9">
        <f>ROUND(153266.23,2)</f>
        <v>153266.23</v>
      </c>
      <c r="I70" s="9">
        <f aca="true" t="shared" si="13" ref="I70:I93">ROUND(0,2)</f>
        <v>0</v>
      </c>
      <c r="J70" s="9">
        <f>ROUND(76633.1,2)</f>
        <v>76633.1</v>
      </c>
      <c r="K70" s="9">
        <f>ROUND(76633.13,2)</f>
        <v>76633.13</v>
      </c>
    </row>
    <row r="71" spans="1:11" ht="90.75">
      <c r="A71" s="7" t="s">
        <v>460</v>
      </c>
      <c r="B71" s="8" t="s">
        <v>182</v>
      </c>
      <c r="C71" s="8" t="s">
        <v>419</v>
      </c>
      <c r="D71" s="9">
        <f>ROUND(2650000,2)</f>
        <v>2650000</v>
      </c>
      <c r="E71" s="9">
        <f t="shared" si="12"/>
        <v>0</v>
      </c>
      <c r="F71" s="9">
        <f>ROUND(2350000,2)</f>
        <v>2350000</v>
      </c>
      <c r="G71" s="9">
        <f>ROUND(300000,2)</f>
        <v>300000</v>
      </c>
      <c r="H71" s="9">
        <f>ROUND(2949.61,2)</f>
        <v>2949.61</v>
      </c>
      <c r="I71" s="9">
        <f t="shared" si="13"/>
        <v>0</v>
      </c>
      <c r="J71" s="9">
        <f>ROUND(0,2)</f>
        <v>0</v>
      </c>
      <c r="K71" s="9">
        <f>ROUND(2949.61,2)</f>
        <v>2949.61</v>
      </c>
    </row>
    <row r="72" spans="1:11" ht="113.25">
      <c r="A72" s="7" t="s">
        <v>331</v>
      </c>
      <c r="B72" s="8" t="s">
        <v>186</v>
      </c>
      <c r="C72" s="8" t="s">
        <v>145</v>
      </c>
      <c r="D72" s="9">
        <f>ROUND(2350000,2)</f>
        <v>2350000</v>
      </c>
      <c r="E72" s="9">
        <f t="shared" si="12"/>
        <v>0</v>
      </c>
      <c r="F72" s="9">
        <f>ROUND(2350000,2)</f>
        <v>2350000</v>
      </c>
      <c r="G72" s="9">
        <f>ROUND(0,2)</f>
        <v>0</v>
      </c>
      <c r="H72" s="9">
        <f>ROUND(0,2)</f>
        <v>0</v>
      </c>
      <c r="I72" s="9">
        <f t="shared" si="13"/>
        <v>0</v>
      </c>
      <c r="J72" s="9">
        <f>ROUND(0,2)</f>
        <v>0</v>
      </c>
      <c r="K72" s="9">
        <f>ROUND(0,2)</f>
        <v>0</v>
      </c>
    </row>
    <row r="73" spans="1:11" ht="102">
      <c r="A73" s="7" t="s">
        <v>65</v>
      </c>
      <c r="B73" s="8" t="s">
        <v>440</v>
      </c>
      <c r="C73" s="8" t="s">
        <v>133</v>
      </c>
      <c r="D73" s="9">
        <f>ROUND(300000,2)</f>
        <v>300000</v>
      </c>
      <c r="E73" s="9">
        <f t="shared" si="12"/>
        <v>0</v>
      </c>
      <c r="F73" s="9">
        <f>ROUND(0,2)</f>
        <v>0</v>
      </c>
      <c r="G73" s="9">
        <f>ROUND(300000,2)</f>
        <v>300000</v>
      </c>
      <c r="H73" s="9">
        <f>ROUND(2949.61,2)</f>
        <v>2949.61</v>
      </c>
      <c r="I73" s="9">
        <f t="shared" si="13"/>
        <v>0</v>
      </c>
      <c r="J73" s="9">
        <f>ROUND(0,2)</f>
        <v>0</v>
      </c>
      <c r="K73" s="9">
        <f>ROUND(2949.61,2)</f>
        <v>2949.61</v>
      </c>
    </row>
    <row r="74" spans="1:11" ht="23.25">
      <c r="A74" s="7" t="s">
        <v>251</v>
      </c>
      <c r="B74" s="8" t="s">
        <v>115</v>
      </c>
      <c r="C74" s="8" t="s">
        <v>244</v>
      </c>
      <c r="D74" s="9">
        <f>ROUND(1900000,2)</f>
        <v>1900000</v>
      </c>
      <c r="E74" s="9">
        <f t="shared" si="12"/>
        <v>0</v>
      </c>
      <c r="F74" s="9">
        <f>ROUND(1900000,2)</f>
        <v>1900000</v>
      </c>
      <c r="G74" s="9">
        <f aca="true" t="shared" si="14" ref="G74:G86">ROUND(0,2)</f>
        <v>0</v>
      </c>
      <c r="H74" s="9">
        <f>ROUND(830481.08,2)</f>
        <v>830481.08</v>
      </c>
      <c r="I74" s="9">
        <f t="shared" si="13"/>
        <v>0</v>
      </c>
      <c r="J74" s="9">
        <f>ROUND(830481.08,2)</f>
        <v>830481.08</v>
      </c>
      <c r="K74" s="9">
        <f aca="true" t="shared" si="15" ref="K74:K86">ROUND(0,2)</f>
        <v>0</v>
      </c>
    </row>
    <row r="75" spans="1:11" ht="45.75">
      <c r="A75" s="7" t="s">
        <v>401</v>
      </c>
      <c r="B75" s="8" t="s">
        <v>386</v>
      </c>
      <c r="C75" s="8" t="s">
        <v>370</v>
      </c>
      <c r="D75" s="9">
        <f>ROUND(20000,2)</f>
        <v>20000</v>
      </c>
      <c r="E75" s="9">
        <f t="shared" si="12"/>
        <v>0</v>
      </c>
      <c r="F75" s="9">
        <f>ROUND(20000,2)</f>
        <v>20000</v>
      </c>
      <c r="G75" s="9">
        <f t="shared" si="14"/>
        <v>0</v>
      </c>
      <c r="H75" s="9">
        <f>ROUND(2975,2)</f>
        <v>2975</v>
      </c>
      <c r="I75" s="9">
        <f t="shared" si="13"/>
        <v>0</v>
      </c>
      <c r="J75" s="9">
        <f>ROUND(2975,2)</f>
        <v>2975</v>
      </c>
      <c r="K75" s="9">
        <f t="shared" si="15"/>
        <v>0</v>
      </c>
    </row>
    <row r="76" spans="1:11" ht="203.25">
      <c r="A76" s="7" t="s">
        <v>132</v>
      </c>
      <c r="B76" s="8" t="s">
        <v>450</v>
      </c>
      <c r="C76" s="8" t="s">
        <v>194</v>
      </c>
      <c r="D76" s="9">
        <f>ROUND(20000,2)</f>
        <v>20000</v>
      </c>
      <c r="E76" s="9">
        <f t="shared" si="12"/>
        <v>0</v>
      </c>
      <c r="F76" s="9">
        <f>ROUND(20000,2)</f>
        <v>20000</v>
      </c>
      <c r="G76" s="9">
        <f t="shared" si="14"/>
        <v>0</v>
      </c>
      <c r="H76" s="9">
        <f>ROUND(2975,2)</f>
        <v>2975</v>
      </c>
      <c r="I76" s="9">
        <f t="shared" si="13"/>
        <v>0</v>
      </c>
      <c r="J76" s="9">
        <f>ROUND(2975,2)</f>
        <v>2975</v>
      </c>
      <c r="K76" s="9">
        <f t="shared" si="15"/>
        <v>0</v>
      </c>
    </row>
    <row r="77" spans="1:11" ht="113.25">
      <c r="A77" s="7" t="s">
        <v>427</v>
      </c>
      <c r="B77" s="8" t="s">
        <v>28</v>
      </c>
      <c r="C77" s="8" t="s">
        <v>158</v>
      </c>
      <c r="D77" s="9">
        <f>ROUND(20000,2)</f>
        <v>20000</v>
      </c>
      <c r="E77" s="9">
        <f t="shared" si="12"/>
        <v>0</v>
      </c>
      <c r="F77" s="9">
        <f>ROUND(20000,2)</f>
        <v>20000</v>
      </c>
      <c r="G77" s="9">
        <f t="shared" si="14"/>
        <v>0</v>
      </c>
      <c r="H77" s="9">
        <f>ROUND(18000,2)</f>
        <v>18000</v>
      </c>
      <c r="I77" s="9">
        <f t="shared" si="13"/>
        <v>0</v>
      </c>
      <c r="J77" s="9">
        <f>ROUND(18000,2)</f>
        <v>18000</v>
      </c>
      <c r="K77" s="9">
        <f t="shared" si="15"/>
        <v>0</v>
      </c>
    </row>
    <row r="78" spans="1:11" ht="169.5">
      <c r="A78" s="7" t="s">
        <v>45</v>
      </c>
      <c r="B78" s="8" t="s">
        <v>122</v>
      </c>
      <c r="C78" s="8" t="s">
        <v>422</v>
      </c>
      <c r="D78" s="9">
        <f>ROUND(160000,2)</f>
        <v>160000</v>
      </c>
      <c r="E78" s="9">
        <f t="shared" si="12"/>
        <v>0</v>
      </c>
      <c r="F78" s="9">
        <f>ROUND(160000,2)</f>
        <v>160000</v>
      </c>
      <c r="G78" s="9">
        <f t="shared" si="14"/>
        <v>0</v>
      </c>
      <c r="H78" s="9">
        <f>ROUND(78000,2)</f>
        <v>78000</v>
      </c>
      <c r="I78" s="9">
        <f t="shared" si="13"/>
        <v>0</v>
      </c>
      <c r="J78" s="9">
        <f>ROUND(78000,2)</f>
        <v>78000</v>
      </c>
      <c r="K78" s="9">
        <f t="shared" si="15"/>
        <v>0</v>
      </c>
    </row>
    <row r="79" spans="1:11" ht="57">
      <c r="A79" s="7" t="s">
        <v>238</v>
      </c>
      <c r="B79" s="8" t="s">
        <v>199</v>
      </c>
      <c r="C79" s="8" t="s">
        <v>162</v>
      </c>
      <c r="D79" s="9">
        <f>ROUND(60000,2)</f>
        <v>60000</v>
      </c>
      <c r="E79" s="9">
        <f t="shared" si="12"/>
        <v>0</v>
      </c>
      <c r="F79" s="9">
        <f>ROUND(60000,2)</f>
        <v>60000</v>
      </c>
      <c r="G79" s="9">
        <f t="shared" si="14"/>
        <v>0</v>
      </c>
      <c r="H79" s="9">
        <f>ROUND(21000,2)</f>
        <v>21000</v>
      </c>
      <c r="I79" s="9">
        <f t="shared" si="13"/>
        <v>0</v>
      </c>
      <c r="J79" s="9">
        <f>ROUND(21000,2)</f>
        <v>21000</v>
      </c>
      <c r="K79" s="9">
        <f t="shared" si="15"/>
        <v>0</v>
      </c>
    </row>
    <row r="80" spans="1:11" ht="68.25">
      <c r="A80" s="7" t="s">
        <v>42</v>
      </c>
      <c r="B80" s="8" t="s">
        <v>431</v>
      </c>
      <c r="C80" s="8" t="s">
        <v>30</v>
      </c>
      <c r="D80" s="9">
        <f>ROUND(40000,2)</f>
        <v>40000</v>
      </c>
      <c r="E80" s="9">
        <f t="shared" si="12"/>
        <v>0</v>
      </c>
      <c r="F80" s="9">
        <f>ROUND(40000,2)</f>
        <v>40000</v>
      </c>
      <c r="G80" s="9">
        <f t="shared" si="14"/>
        <v>0</v>
      </c>
      <c r="H80" s="9">
        <f>ROUND(8000,2)</f>
        <v>8000</v>
      </c>
      <c r="I80" s="9">
        <f t="shared" si="13"/>
        <v>0</v>
      </c>
      <c r="J80" s="9">
        <f>ROUND(8000,2)</f>
        <v>8000</v>
      </c>
      <c r="K80" s="9">
        <f t="shared" si="15"/>
        <v>0</v>
      </c>
    </row>
    <row r="81" spans="1:11" ht="68.25">
      <c r="A81" s="7" t="s">
        <v>247</v>
      </c>
      <c r="B81" s="8" t="s">
        <v>320</v>
      </c>
      <c r="C81" s="8" t="s">
        <v>270</v>
      </c>
      <c r="D81" s="9">
        <f>ROUND(20000,2)</f>
        <v>20000</v>
      </c>
      <c r="E81" s="9">
        <f t="shared" si="12"/>
        <v>0</v>
      </c>
      <c r="F81" s="9">
        <f>ROUND(20000,2)</f>
        <v>20000</v>
      </c>
      <c r="G81" s="9">
        <f t="shared" si="14"/>
        <v>0</v>
      </c>
      <c r="H81" s="9">
        <f>ROUND(0,2)</f>
        <v>0</v>
      </c>
      <c r="I81" s="9">
        <f t="shared" si="13"/>
        <v>0</v>
      </c>
      <c r="J81" s="9">
        <f>ROUND(0,2)</f>
        <v>0</v>
      </c>
      <c r="K81" s="9">
        <f t="shared" si="15"/>
        <v>0</v>
      </c>
    </row>
    <row r="82" spans="1:11" ht="57">
      <c r="A82" s="7" t="s">
        <v>452</v>
      </c>
      <c r="B82" s="8" t="s">
        <v>300</v>
      </c>
      <c r="C82" s="8" t="s">
        <v>29</v>
      </c>
      <c r="D82" s="9">
        <f>ROUND(20000,2)</f>
        <v>20000</v>
      </c>
      <c r="E82" s="9">
        <f t="shared" si="12"/>
        <v>0</v>
      </c>
      <c r="F82" s="9">
        <f>ROUND(20000,2)</f>
        <v>20000</v>
      </c>
      <c r="G82" s="9">
        <f t="shared" si="14"/>
        <v>0</v>
      </c>
      <c r="H82" s="9">
        <f>ROUND(43000,2)</f>
        <v>43000</v>
      </c>
      <c r="I82" s="9">
        <f t="shared" si="13"/>
        <v>0</v>
      </c>
      <c r="J82" s="9">
        <f>ROUND(43000,2)</f>
        <v>43000</v>
      </c>
      <c r="K82" s="9">
        <f t="shared" si="15"/>
        <v>0</v>
      </c>
    </row>
    <row r="83" spans="1:11" ht="45.75">
      <c r="A83" s="7" t="s">
        <v>139</v>
      </c>
      <c r="B83" s="8" t="s">
        <v>69</v>
      </c>
      <c r="C83" s="8" t="s">
        <v>142</v>
      </c>
      <c r="D83" s="9">
        <f>ROUND(20000,2)</f>
        <v>20000</v>
      </c>
      <c r="E83" s="9">
        <f t="shared" si="12"/>
        <v>0</v>
      </c>
      <c r="F83" s="9">
        <f>ROUND(20000,2)</f>
        <v>20000</v>
      </c>
      <c r="G83" s="9">
        <f t="shared" si="14"/>
        <v>0</v>
      </c>
      <c r="H83" s="9">
        <f>ROUND(6000,2)</f>
        <v>6000</v>
      </c>
      <c r="I83" s="9">
        <f t="shared" si="13"/>
        <v>0</v>
      </c>
      <c r="J83" s="9">
        <f>ROUND(6000,2)</f>
        <v>6000</v>
      </c>
      <c r="K83" s="9">
        <f t="shared" si="15"/>
        <v>0</v>
      </c>
    </row>
    <row r="84" spans="1:11" ht="113.25">
      <c r="A84" s="7" t="s">
        <v>0</v>
      </c>
      <c r="B84" s="8" t="s">
        <v>47</v>
      </c>
      <c r="C84" s="8" t="s">
        <v>407</v>
      </c>
      <c r="D84" s="9">
        <f>ROUND(200000,2)</f>
        <v>200000</v>
      </c>
      <c r="E84" s="9">
        <f t="shared" si="12"/>
        <v>0</v>
      </c>
      <c r="F84" s="9">
        <f>ROUND(200000,2)</f>
        <v>200000</v>
      </c>
      <c r="G84" s="9">
        <f t="shared" si="14"/>
        <v>0</v>
      </c>
      <c r="H84" s="9">
        <f>ROUND(127000,2)</f>
        <v>127000</v>
      </c>
      <c r="I84" s="9">
        <f t="shared" si="13"/>
        <v>0</v>
      </c>
      <c r="J84" s="9">
        <f>ROUND(127000,2)</f>
        <v>127000</v>
      </c>
      <c r="K84" s="9">
        <f t="shared" si="15"/>
        <v>0</v>
      </c>
    </row>
    <row r="85" spans="1:11" ht="45.75">
      <c r="A85" s="7" t="s">
        <v>92</v>
      </c>
      <c r="B85" s="8" t="s">
        <v>250</v>
      </c>
      <c r="C85" s="8" t="s">
        <v>376</v>
      </c>
      <c r="D85" s="9">
        <f>ROUND(1500000,2)</f>
        <v>1500000</v>
      </c>
      <c r="E85" s="9">
        <f t="shared" si="12"/>
        <v>0</v>
      </c>
      <c r="F85" s="9">
        <f>ROUND(1500000,2)</f>
        <v>1500000</v>
      </c>
      <c r="G85" s="9">
        <f t="shared" si="14"/>
        <v>0</v>
      </c>
      <c r="H85" s="9">
        <f>ROUND(604506.08,2)</f>
        <v>604506.08</v>
      </c>
      <c r="I85" s="9">
        <f t="shared" si="13"/>
        <v>0</v>
      </c>
      <c r="J85" s="9">
        <f>ROUND(604506.08,2)</f>
        <v>604506.08</v>
      </c>
      <c r="K85" s="9">
        <f t="shared" si="15"/>
        <v>0</v>
      </c>
    </row>
    <row r="86" spans="1:11" ht="68.25">
      <c r="A86" s="7" t="s">
        <v>354</v>
      </c>
      <c r="B86" s="8" t="s">
        <v>57</v>
      </c>
      <c r="C86" s="8" t="s">
        <v>291</v>
      </c>
      <c r="D86" s="9">
        <f>ROUND(1500000,2)</f>
        <v>1500000</v>
      </c>
      <c r="E86" s="9">
        <f t="shared" si="12"/>
        <v>0</v>
      </c>
      <c r="F86" s="9">
        <f>ROUND(1500000,2)</f>
        <v>1500000</v>
      </c>
      <c r="G86" s="9">
        <f t="shared" si="14"/>
        <v>0</v>
      </c>
      <c r="H86" s="9">
        <f>ROUND(604506.08,2)</f>
        <v>604506.08</v>
      </c>
      <c r="I86" s="9">
        <f t="shared" si="13"/>
        <v>0</v>
      </c>
      <c r="J86" s="9">
        <f>ROUND(604506.08,2)</f>
        <v>604506.08</v>
      </c>
      <c r="K86" s="9">
        <f t="shared" si="15"/>
        <v>0</v>
      </c>
    </row>
    <row r="87" spans="1:11" ht="23.25">
      <c r="A87" s="7" t="s">
        <v>49</v>
      </c>
      <c r="B87" s="8" t="s">
        <v>269</v>
      </c>
      <c r="C87" s="8" t="s">
        <v>23</v>
      </c>
      <c r="D87" s="9">
        <f>ROUND(6914143,2)</f>
        <v>6914143</v>
      </c>
      <c r="E87" s="9">
        <f t="shared" si="12"/>
        <v>0</v>
      </c>
      <c r="F87" s="9">
        <f>ROUND(5427751,2)</f>
        <v>5427751</v>
      </c>
      <c r="G87" s="9">
        <f>ROUND(1486392,2)</f>
        <v>1486392</v>
      </c>
      <c r="H87" s="9">
        <f>ROUND(3404703.52,2)</f>
        <v>3404703.52</v>
      </c>
      <c r="I87" s="9">
        <f t="shared" si="13"/>
        <v>0</v>
      </c>
      <c r="J87" s="9">
        <f>ROUND(2086472.77,2)</f>
        <v>2086472.77</v>
      </c>
      <c r="K87" s="9">
        <f>ROUND(1318230.75,2)</f>
        <v>1318230.75</v>
      </c>
    </row>
    <row r="88" spans="1:11" ht="23.25">
      <c r="A88" s="7" t="s">
        <v>234</v>
      </c>
      <c r="B88" s="8" t="s">
        <v>446</v>
      </c>
      <c r="C88" s="8" t="s">
        <v>261</v>
      </c>
      <c r="D88" s="9">
        <f>ROUND(0,2)</f>
        <v>0</v>
      </c>
      <c r="E88" s="9">
        <f t="shared" si="12"/>
        <v>0</v>
      </c>
      <c r="F88" s="9">
        <f aca="true" t="shared" si="16" ref="F88:G90">ROUND(0,2)</f>
        <v>0</v>
      </c>
      <c r="G88" s="9">
        <f t="shared" si="16"/>
        <v>0</v>
      </c>
      <c r="H88" s="9">
        <f>ROUND(-413631.48,2)</f>
        <v>-413631.48</v>
      </c>
      <c r="I88" s="9">
        <f t="shared" si="13"/>
        <v>0</v>
      </c>
      <c r="J88" s="9">
        <f>ROUND(-410874.2,2)</f>
        <v>-410874.2</v>
      </c>
      <c r="K88" s="9">
        <f>ROUND(-2757.28,2)</f>
        <v>-2757.28</v>
      </c>
    </row>
    <row r="89" spans="1:11" ht="45.75">
      <c r="A89" s="7" t="s">
        <v>70</v>
      </c>
      <c r="B89" s="8" t="s">
        <v>207</v>
      </c>
      <c r="C89" s="8" t="s">
        <v>178</v>
      </c>
      <c r="D89" s="9">
        <f>ROUND(0,2)</f>
        <v>0</v>
      </c>
      <c r="E89" s="9">
        <f t="shared" si="12"/>
        <v>0</v>
      </c>
      <c r="F89" s="9">
        <f t="shared" si="16"/>
        <v>0</v>
      </c>
      <c r="G89" s="9">
        <f t="shared" si="16"/>
        <v>0</v>
      </c>
      <c r="H89" s="9">
        <f>ROUND(-410874.2,2)</f>
        <v>-410874.2</v>
      </c>
      <c r="I89" s="9">
        <f t="shared" si="13"/>
        <v>0</v>
      </c>
      <c r="J89" s="9">
        <f>ROUND(-410874.2,2)</f>
        <v>-410874.2</v>
      </c>
      <c r="K89" s="9">
        <f>ROUND(0,2)</f>
        <v>0</v>
      </c>
    </row>
    <row r="90" spans="1:11" ht="45.75">
      <c r="A90" s="7" t="s">
        <v>330</v>
      </c>
      <c r="B90" s="8" t="s">
        <v>458</v>
      </c>
      <c r="C90" s="8" t="s">
        <v>383</v>
      </c>
      <c r="D90" s="9">
        <f>ROUND(0,2)</f>
        <v>0</v>
      </c>
      <c r="E90" s="9">
        <f t="shared" si="12"/>
        <v>0</v>
      </c>
      <c r="F90" s="9">
        <f t="shared" si="16"/>
        <v>0</v>
      </c>
      <c r="G90" s="9">
        <f t="shared" si="16"/>
        <v>0</v>
      </c>
      <c r="H90" s="9">
        <f>ROUND(-2757.28,2)</f>
        <v>-2757.28</v>
      </c>
      <c r="I90" s="9">
        <f t="shared" si="13"/>
        <v>0</v>
      </c>
      <c r="J90" s="9">
        <f>ROUND(0,2)</f>
        <v>0</v>
      </c>
      <c r="K90" s="9">
        <f>ROUND(-2757.28,2)</f>
        <v>-2757.28</v>
      </c>
    </row>
    <row r="91" spans="1:11" ht="23.25">
      <c r="A91" s="7" t="s">
        <v>191</v>
      </c>
      <c r="B91" s="8" t="s">
        <v>35</v>
      </c>
      <c r="C91" s="8" t="s">
        <v>388</v>
      </c>
      <c r="D91" s="9">
        <f>ROUND(6914143,2)</f>
        <v>6914143</v>
      </c>
      <c r="E91" s="9">
        <f t="shared" si="12"/>
        <v>0</v>
      </c>
      <c r="F91" s="9">
        <f>ROUND(5427751,2)</f>
        <v>5427751</v>
      </c>
      <c r="G91" s="9">
        <f>ROUND(1486392,2)</f>
        <v>1486392</v>
      </c>
      <c r="H91" s="9">
        <f>ROUND(3818335,2)</f>
        <v>3818335</v>
      </c>
      <c r="I91" s="9">
        <f t="shared" si="13"/>
        <v>0</v>
      </c>
      <c r="J91" s="9">
        <f>ROUND(2497346.97,2)</f>
        <v>2497346.97</v>
      </c>
      <c r="K91" s="9">
        <f>ROUND(1320988.03,2)</f>
        <v>1320988.03</v>
      </c>
    </row>
    <row r="92" spans="1:11" ht="34.5">
      <c r="A92" s="7" t="s">
        <v>84</v>
      </c>
      <c r="B92" s="8" t="s">
        <v>259</v>
      </c>
      <c r="C92" s="8" t="s">
        <v>83</v>
      </c>
      <c r="D92" s="9">
        <f>ROUND(5427751,2)</f>
        <v>5427751</v>
      </c>
      <c r="E92" s="9">
        <f t="shared" si="12"/>
        <v>0</v>
      </c>
      <c r="F92" s="9">
        <f>ROUND(5427751,2)</f>
        <v>5427751</v>
      </c>
      <c r="G92" s="9">
        <f>ROUND(0,2)</f>
        <v>0</v>
      </c>
      <c r="H92" s="9">
        <f>ROUND(2497346.97,2)</f>
        <v>2497346.97</v>
      </c>
      <c r="I92" s="9">
        <f t="shared" si="13"/>
        <v>0</v>
      </c>
      <c r="J92" s="9">
        <f>ROUND(2497346.97,2)</f>
        <v>2497346.97</v>
      </c>
      <c r="K92" s="9">
        <f>ROUND(0,2)</f>
        <v>0</v>
      </c>
    </row>
    <row r="93" spans="1:11" ht="34.5">
      <c r="A93" s="7" t="s">
        <v>260</v>
      </c>
      <c r="B93" s="8" t="s">
        <v>52</v>
      </c>
      <c r="C93" s="8" t="s">
        <v>94</v>
      </c>
      <c r="D93" s="9">
        <f>ROUND(1486392,2)</f>
        <v>1486392</v>
      </c>
      <c r="E93" s="9">
        <f t="shared" si="12"/>
        <v>0</v>
      </c>
      <c r="F93" s="9">
        <f>ROUND(0,2)</f>
        <v>0</v>
      </c>
      <c r="G93" s="9">
        <f>ROUND(1486392,2)</f>
        <v>1486392</v>
      </c>
      <c r="H93" s="9">
        <f>ROUND(1320988.03,2)</f>
        <v>1320988.03</v>
      </c>
      <c r="I93" s="9">
        <f t="shared" si="13"/>
        <v>0</v>
      </c>
      <c r="J93" s="9">
        <f>ROUND(0,2)</f>
        <v>0</v>
      </c>
      <c r="K93" s="9">
        <f>ROUND(1320988.03,2)</f>
        <v>1320988.03</v>
      </c>
    </row>
    <row r="94" spans="1:11" ht="23.25">
      <c r="A94" s="7" t="s">
        <v>172</v>
      </c>
      <c r="B94" s="8" t="s">
        <v>396</v>
      </c>
      <c r="C94" s="8" t="s">
        <v>211</v>
      </c>
      <c r="D94" s="9">
        <f>ROUND(787217013,2)</f>
        <v>787217013</v>
      </c>
      <c r="E94" s="9">
        <f>ROUND(90924978,2)</f>
        <v>90924978</v>
      </c>
      <c r="F94" s="9">
        <f>ROUND(773195174,2)</f>
        <v>773195174</v>
      </c>
      <c r="G94" s="9">
        <f>ROUND(104946817,2)</f>
        <v>104946817</v>
      </c>
      <c r="H94" s="9">
        <f>ROUND(367042903.83,2)</f>
        <v>367042903.83</v>
      </c>
      <c r="I94" s="9">
        <f>ROUND(31096469.22,2)</f>
        <v>31096469.22</v>
      </c>
      <c r="J94" s="9">
        <f>ROUND(353210919.66,2)</f>
        <v>353210919.66</v>
      </c>
      <c r="K94" s="9">
        <f>ROUND(44928453.39,2)</f>
        <v>44928453.39</v>
      </c>
    </row>
    <row r="95" spans="1:11" ht="57">
      <c r="A95" s="7" t="s">
        <v>101</v>
      </c>
      <c r="B95" s="8" t="s">
        <v>96</v>
      </c>
      <c r="C95" s="8" t="s">
        <v>373</v>
      </c>
      <c r="D95" s="9">
        <f>ROUND(755531813,2)</f>
        <v>755531813</v>
      </c>
      <c r="E95" s="9">
        <f>ROUND(90924978,2)</f>
        <v>90924978</v>
      </c>
      <c r="F95" s="9">
        <f>ROUND(741574974,2)</f>
        <v>741574974</v>
      </c>
      <c r="G95" s="9">
        <f>ROUND(104881817,2)</f>
        <v>104881817</v>
      </c>
      <c r="H95" s="9">
        <f>ROUND(367424302.51,2)</f>
        <v>367424302.51</v>
      </c>
      <c r="I95" s="9">
        <f>ROUND(31096469.22,2)</f>
        <v>31096469.22</v>
      </c>
      <c r="J95" s="9">
        <f>ROUND(353655921.88,2)</f>
        <v>353655921.88</v>
      </c>
      <c r="K95" s="9">
        <f>ROUND(44864849.85,2)</f>
        <v>44864849.85</v>
      </c>
    </row>
    <row r="96" spans="1:11" ht="57">
      <c r="A96" s="7" t="s">
        <v>311</v>
      </c>
      <c r="B96" s="8" t="s">
        <v>256</v>
      </c>
      <c r="C96" s="8" t="s">
        <v>304</v>
      </c>
      <c r="D96" s="9">
        <f>ROUND(78253000,2)</f>
        <v>78253000</v>
      </c>
      <c r="E96" s="9">
        <f>ROUND(21897900,2)</f>
        <v>21897900</v>
      </c>
      <c r="F96" s="9">
        <f>ROUND(78253000,2)</f>
        <v>78253000</v>
      </c>
      <c r="G96" s="9">
        <f>ROUND(21897900,2)</f>
        <v>21897900</v>
      </c>
      <c r="H96" s="9">
        <f>ROUND(56283300,2)</f>
        <v>56283300</v>
      </c>
      <c r="I96" s="9">
        <f>ROUND(8681200,2)</f>
        <v>8681200</v>
      </c>
      <c r="J96" s="9">
        <f>ROUND(56283300,2)</f>
        <v>56283300</v>
      </c>
      <c r="K96" s="9">
        <f>ROUND(8681200,2)</f>
        <v>8681200</v>
      </c>
    </row>
    <row r="97" spans="1:11" ht="34.5">
      <c r="A97" s="7" t="s">
        <v>108</v>
      </c>
      <c r="B97" s="8" t="s">
        <v>55</v>
      </c>
      <c r="C97" s="8" t="s">
        <v>6</v>
      </c>
      <c r="D97" s="9">
        <f>ROUND(29685000,2)</f>
        <v>29685000</v>
      </c>
      <c r="E97" s="9">
        <f>ROUND(10884900,2)</f>
        <v>10884900</v>
      </c>
      <c r="F97" s="9">
        <f>ROUND(29685000,2)</f>
        <v>29685000</v>
      </c>
      <c r="G97" s="9">
        <f>ROUND(10884900,2)</f>
        <v>10884900</v>
      </c>
      <c r="H97" s="9">
        <f>ROUND(17317300,2)</f>
        <v>17317300</v>
      </c>
      <c r="I97" s="9">
        <f>ROUND(5442400,2)</f>
        <v>5442400</v>
      </c>
      <c r="J97" s="9">
        <f>ROUND(17317300,2)</f>
        <v>17317300</v>
      </c>
      <c r="K97" s="9">
        <f>ROUND(5442400,2)</f>
        <v>5442400</v>
      </c>
    </row>
    <row r="98" spans="1:11" ht="57">
      <c r="A98" s="7" t="s">
        <v>411</v>
      </c>
      <c r="B98" s="8" t="s">
        <v>20</v>
      </c>
      <c r="C98" s="8" t="s">
        <v>170</v>
      </c>
      <c r="D98" s="9">
        <f>ROUND(29685000,2)</f>
        <v>29685000</v>
      </c>
      <c r="E98" s="9">
        <f>ROUND(0,2)</f>
        <v>0</v>
      </c>
      <c r="F98" s="9">
        <f>ROUND(29685000,2)</f>
        <v>29685000</v>
      </c>
      <c r="G98" s="9">
        <f>ROUND(0,2)</f>
        <v>0</v>
      </c>
      <c r="H98" s="9">
        <f>ROUND(17317300,2)</f>
        <v>17317300</v>
      </c>
      <c r="I98" s="9">
        <f>ROUND(0,2)</f>
        <v>0</v>
      </c>
      <c r="J98" s="9">
        <f>ROUND(17317300,2)</f>
        <v>17317300</v>
      </c>
      <c r="K98" s="9">
        <f>ROUND(0,2)</f>
        <v>0</v>
      </c>
    </row>
    <row r="99" spans="1:11" ht="45.75">
      <c r="A99" s="7" t="s">
        <v>124</v>
      </c>
      <c r="B99" s="8" t="s">
        <v>290</v>
      </c>
      <c r="C99" s="8" t="s">
        <v>228</v>
      </c>
      <c r="D99" s="9">
        <f>ROUND(0,2)</f>
        <v>0</v>
      </c>
      <c r="E99" s="9">
        <f>ROUND(10884900,2)</f>
        <v>10884900</v>
      </c>
      <c r="F99" s="9">
        <f>ROUND(0,2)</f>
        <v>0</v>
      </c>
      <c r="G99" s="9">
        <f>ROUND(10884900,2)</f>
        <v>10884900</v>
      </c>
      <c r="H99" s="9">
        <f>ROUND(0,2)</f>
        <v>0</v>
      </c>
      <c r="I99" s="9">
        <f>ROUND(5442400,2)</f>
        <v>5442400</v>
      </c>
      <c r="J99" s="9">
        <f>ROUND(0,2)</f>
        <v>0</v>
      </c>
      <c r="K99" s="9">
        <f>ROUND(5442400,2)</f>
        <v>5442400</v>
      </c>
    </row>
    <row r="100" spans="1:11" ht="57">
      <c r="A100" s="7" t="s">
        <v>372</v>
      </c>
      <c r="B100" s="8" t="s">
        <v>220</v>
      </c>
      <c r="C100" s="8" t="s">
        <v>44</v>
      </c>
      <c r="D100" s="9">
        <f>ROUND(48568000,2)</f>
        <v>48568000</v>
      </c>
      <c r="E100" s="9">
        <f>ROUND(0,2)</f>
        <v>0</v>
      </c>
      <c r="F100" s="9">
        <f>ROUND(48568000,2)</f>
        <v>48568000</v>
      </c>
      <c r="G100" s="9">
        <f>ROUND(0,2)</f>
        <v>0</v>
      </c>
      <c r="H100" s="9">
        <f>ROUND(38966000,2)</f>
        <v>38966000</v>
      </c>
      <c r="I100" s="9">
        <f>ROUND(0,2)</f>
        <v>0</v>
      </c>
      <c r="J100" s="9">
        <f>ROUND(38966000,2)</f>
        <v>38966000</v>
      </c>
      <c r="K100" s="9">
        <f>ROUND(0,2)</f>
        <v>0</v>
      </c>
    </row>
    <row r="101" spans="1:11" ht="68.25">
      <c r="A101" s="7" t="s">
        <v>459</v>
      </c>
      <c r="B101" s="8" t="s">
        <v>198</v>
      </c>
      <c r="C101" s="8" t="s">
        <v>273</v>
      </c>
      <c r="D101" s="9">
        <f>ROUND(48568000,2)</f>
        <v>48568000</v>
      </c>
      <c r="E101" s="9">
        <f>ROUND(0,2)</f>
        <v>0</v>
      </c>
      <c r="F101" s="9">
        <f>ROUND(48568000,2)</f>
        <v>48568000</v>
      </c>
      <c r="G101" s="9">
        <f>ROUND(0,2)</f>
        <v>0</v>
      </c>
      <c r="H101" s="9">
        <f>ROUND(38966000,2)</f>
        <v>38966000</v>
      </c>
      <c r="I101" s="9">
        <f>ROUND(0,2)</f>
        <v>0</v>
      </c>
      <c r="J101" s="9">
        <f>ROUND(38966000,2)</f>
        <v>38966000</v>
      </c>
      <c r="K101" s="9">
        <f>ROUND(0,2)</f>
        <v>0</v>
      </c>
    </row>
    <row r="102" spans="1:11" ht="23.25">
      <c r="A102" s="7" t="s">
        <v>135</v>
      </c>
      <c r="B102" s="8" t="s">
        <v>189</v>
      </c>
      <c r="C102" s="8" t="s">
        <v>221</v>
      </c>
      <c r="D102" s="9">
        <f>ROUND(0,2)</f>
        <v>0</v>
      </c>
      <c r="E102" s="9">
        <f>ROUND(11013000,2)</f>
        <v>11013000</v>
      </c>
      <c r="F102" s="9">
        <f>ROUND(0,2)</f>
        <v>0</v>
      </c>
      <c r="G102" s="9">
        <f>ROUND(11013000,2)</f>
        <v>11013000</v>
      </c>
      <c r="H102" s="9">
        <f>ROUND(0,2)</f>
        <v>0</v>
      </c>
      <c r="I102" s="9">
        <f>ROUND(3238800,2)</f>
        <v>3238800</v>
      </c>
      <c r="J102" s="9">
        <f>ROUND(0,2)</f>
        <v>0</v>
      </c>
      <c r="K102" s="9">
        <f>ROUND(3238800,2)</f>
        <v>3238800</v>
      </c>
    </row>
    <row r="103" spans="1:11" ht="23.25">
      <c r="A103" s="7" t="s">
        <v>423</v>
      </c>
      <c r="B103" s="8" t="s">
        <v>403</v>
      </c>
      <c r="C103" s="8" t="s">
        <v>442</v>
      </c>
      <c r="D103" s="9">
        <f>ROUND(0,2)</f>
        <v>0</v>
      </c>
      <c r="E103" s="9">
        <f>ROUND(11013000,2)</f>
        <v>11013000</v>
      </c>
      <c r="F103" s="9">
        <f>ROUND(0,2)</f>
        <v>0</v>
      </c>
      <c r="G103" s="9">
        <f>ROUND(11013000,2)</f>
        <v>11013000</v>
      </c>
      <c r="H103" s="9">
        <f>ROUND(0,2)</f>
        <v>0</v>
      </c>
      <c r="I103" s="9">
        <f>ROUND(3238800,2)</f>
        <v>3238800</v>
      </c>
      <c r="J103" s="9">
        <f>ROUND(0,2)</f>
        <v>0</v>
      </c>
      <c r="K103" s="9">
        <f>ROUND(3238800,2)</f>
        <v>3238800</v>
      </c>
    </row>
    <row r="104" spans="1:11" ht="79.5">
      <c r="A104" s="7" t="s">
        <v>231</v>
      </c>
      <c r="B104" s="8" t="s">
        <v>68</v>
      </c>
      <c r="C104" s="8" t="s">
        <v>86</v>
      </c>
      <c r="D104" s="9">
        <f>ROUND(461809248,2)</f>
        <v>461809248</v>
      </c>
      <c r="E104" s="9">
        <f>ROUND(24814063,2)</f>
        <v>24814063</v>
      </c>
      <c r="F104" s="9">
        <f>ROUND(449781309,2)</f>
        <v>449781309</v>
      </c>
      <c r="G104" s="9">
        <f>ROUND(36842002,2)</f>
        <v>36842002</v>
      </c>
      <c r="H104" s="9">
        <f>ROUND(200255572.21,2)</f>
        <v>200255572.21</v>
      </c>
      <c r="I104" s="9">
        <f>ROUND(564101,2)</f>
        <v>564101</v>
      </c>
      <c r="J104" s="9">
        <f>ROUND(188227633.21,2)</f>
        <v>188227633.21</v>
      </c>
      <c r="K104" s="9">
        <f>ROUND(12592040,2)</f>
        <v>12592040</v>
      </c>
    </row>
    <row r="105" spans="1:11" ht="124.5">
      <c r="A105" s="7" t="s">
        <v>26</v>
      </c>
      <c r="B105" s="8" t="s">
        <v>58</v>
      </c>
      <c r="C105" s="8" t="s">
        <v>75</v>
      </c>
      <c r="D105" s="9">
        <f>ROUND(416666690,2)</f>
        <v>416666690</v>
      </c>
      <c r="E105" s="9">
        <f>ROUND(13996290,2)</f>
        <v>13996290</v>
      </c>
      <c r="F105" s="9">
        <f>ROUND(416666690,2)</f>
        <v>416666690</v>
      </c>
      <c r="G105" s="9">
        <f>ROUND(13996290,2)</f>
        <v>13996290</v>
      </c>
      <c r="H105" s="9">
        <f>ROUND(177354284.18,2)</f>
        <v>177354284.18</v>
      </c>
      <c r="I105" s="9">
        <f aca="true" t="shared" si="17" ref="I105:I117">ROUND(0,2)</f>
        <v>0</v>
      </c>
      <c r="J105" s="9">
        <f>ROUND(177354284.18,2)</f>
        <v>177354284.18</v>
      </c>
      <c r="K105" s="9">
        <f>ROUND(0,2)</f>
        <v>0</v>
      </c>
    </row>
    <row r="106" spans="1:11" ht="102">
      <c r="A106" s="7" t="s">
        <v>227</v>
      </c>
      <c r="B106" s="8" t="s">
        <v>24</v>
      </c>
      <c r="C106" s="8" t="s">
        <v>324</v>
      </c>
      <c r="D106" s="9">
        <f>ROUND(416666690,2)</f>
        <v>416666690</v>
      </c>
      <c r="E106" s="9">
        <f>ROUND(0,2)</f>
        <v>0</v>
      </c>
      <c r="F106" s="9">
        <f>ROUND(416666690,2)</f>
        <v>416666690</v>
      </c>
      <c r="G106" s="9">
        <f>ROUND(0,2)</f>
        <v>0</v>
      </c>
      <c r="H106" s="9">
        <f>ROUND(177354284.18,2)</f>
        <v>177354284.18</v>
      </c>
      <c r="I106" s="9">
        <f t="shared" si="17"/>
        <v>0</v>
      </c>
      <c r="J106" s="9">
        <f>ROUND(177354284.18,2)</f>
        <v>177354284.18</v>
      </c>
      <c r="K106" s="9">
        <f>ROUND(0,2)</f>
        <v>0</v>
      </c>
    </row>
    <row r="107" spans="1:11" ht="90.75">
      <c r="A107" s="7" t="s">
        <v>426</v>
      </c>
      <c r="B107" s="8" t="s">
        <v>278</v>
      </c>
      <c r="C107" s="8" t="s">
        <v>249</v>
      </c>
      <c r="D107" s="9">
        <f>ROUND(0,2)</f>
        <v>0</v>
      </c>
      <c r="E107" s="9">
        <f>ROUND(13996290,2)</f>
        <v>13996290</v>
      </c>
      <c r="F107" s="9">
        <f>ROUND(0,2)</f>
        <v>0</v>
      </c>
      <c r="G107" s="9">
        <f>ROUND(13996290,2)</f>
        <v>13996290</v>
      </c>
      <c r="H107" s="9">
        <f>ROUND(0,2)</f>
        <v>0</v>
      </c>
      <c r="I107" s="9">
        <f t="shared" si="17"/>
        <v>0</v>
      </c>
      <c r="J107" s="9">
        <f>ROUND(0,2)</f>
        <v>0</v>
      </c>
      <c r="K107" s="9">
        <f>ROUND(0,2)</f>
        <v>0</v>
      </c>
    </row>
    <row r="108" spans="1:11" ht="79.5">
      <c r="A108" s="7" t="s">
        <v>204</v>
      </c>
      <c r="B108" s="8" t="s">
        <v>306</v>
      </c>
      <c r="C108" s="8" t="s">
        <v>410</v>
      </c>
      <c r="D108" s="9">
        <f>ROUND(2442391,2)</f>
        <v>2442391</v>
      </c>
      <c r="E108" s="9">
        <f aca="true" t="shared" si="18" ref="E108:E117">ROUND(0,2)</f>
        <v>0</v>
      </c>
      <c r="F108" s="9">
        <f>ROUND(2442391,2)</f>
        <v>2442391</v>
      </c>
      <c r="G108" s="9">
        <f>ROUND(0,2)</f>
        <v>0</v>
      </c>
      <c r="H108" s="9">
        <f>ROUND(2053710,2)</f>
        <v>2053710</v>
      </c>
      <c r="I108" s="9">
        <f t="shared" si="17"/>
        <v>0</v>
      </c>
      <c r="J108" s="9">
        <f>ROUND(2053710,2)</f>
        <v>2053710</v>
      </c>
      <c r="K108" s="9">
        <f>ROUND(0,2)</f>
        <v>0</v>
      </c>
    </row>
    <row r="109" spans="1:11" ht="90.75">
      <c r="A109" s="7" t="s">
        <v>381</v>
      </c>
      <c r="B109" s="8" t="s">
        <v>335</v>
      </c>
      <c r="C109" s="8" t="s">
        <v>79</v>
      </c>
      <c r="D109" s="9">
        <f>ROUND(2442391,2)</f>
        <v>2442391</v>
      </c>
      <c r="E109" s="9">
        <f t="shared" si="18"/>
        <v>0</v>
      </c>
      <c r="F109" s="9">
        <f>ROUND(2442391,2)</f>
        <v>2442391</v>
      </c>
      <c r="G109" s="9">
        <f>ROUND(0,2)</f>
        <v>0</v>
      </c>
      <c r="H109" s="9">
        <f>ROUND(2053710,2)</f>
        <v>2053710</v>
      </c>
      <c r="I109" s="9">
        <f t="shared" si="17"/>
        <v>0</v>
      </c>
      <c r="J109" s="9">
        <f>ROUND(2053710,2)</f>
        <v>2053710</v>
      </c>
      <c r="K109" s="9">
        <f>ROUND(0,2)</f>
        <v>0</v>
      </c>
    </row>
    <row r="110" spans="1:11" ht="192">
      <c r="A110" s="7" t="s">
        <v>64</v>
      </c>
      <c r="B110" s="8" t="s">
        <v>445</v>
      </c>
      <c r="C110" s="8" t="s">
        <v>155</v>
      </c>
      <c r="D110" s="9">
        <f>ROUND(9084613,2)</f>
        <v>9084613</v>
      </c>
      <c r="E110" s="9">
        <f t="shared" si="18"/>
        <v>0</v>
      </c>
      <c r="F110" s="9">
        <f aca="true" t="shared" si="19" ref="F110:F115">ROUND(0,2)</f>
        <v>0</v>
      </c>
      <c r="G110" s="9">
        <f aca="true" t="shared" si="20" ref="G110:H112">ROUND(9084613,2)</f>
        <v>9084613</v>
      </c>
      <c r="H110" s="9">
        <f t="shared" si="20"/>
        <v>9084613</v>
      </c>
      <c r="I110" s="9">
        <f t="shared" si="17"/>
        <v>0</v>
      </c>
      <c r="J110" s="9">
        <f aca="true" t="shared" si="21" ref="J110:J115">ROUND(0,2)</f>
        <v>0</v>
      </c>
      <c r="K110" s="9">
        <f>ROUND(9084613,2)</f>
        <v>9084613</v>
      </c>
    </row>
    <row r="111" spans="1:11" ht="180.75">
      <c r="A111" s="7" t="s">
        <v>218</v>
      </c>
      <c r="B111" s="8" t="s">
        <v>216</v>
      </c>
      <c r="C111" s="8" t="s">
        <v>406</v>
      </c>
      <c r="D111" s="9">
        <f>ROUND(9084613,2)</f>
        <v>9084613</v>
      </c>
      <c r="E111" s="9">
        <f t="shared" si="18"/>
        <v>0</v>
      </c>
      <c r="F111" s="9">
        <f t="shared" si="19"/>
        <v>0</v>
      </c>
      <c r="G111" s="9">
        <f t="shared" si="20"/>
        <v>9084613</v>
      </c>
      <c r="H111" s="9">
        <f t="shared" si="20"/>
        <v>9084613</v>
      </c>
      <c r="I111" s="9">
        <f t="shared" si="17"/>
        <v>0</v>
      </c>
      <c r="J111" s="9">
        <f t="shared" si="21"/>
        <v>0</v>
      </c>
      <c r="K111" s="9">
        <f>ROUND(9084613,2)</f>
        <v>9084613</v>
      </c>
    </row>
    <row r="112" spans="1:11" ht="158.25">
      <c r="A112" s="7" t="s">
        <v>342</v>
      </c>
      <c r="B112" s="8" t="s">
        <v>374</v>
      </c>
      <c r="C112" s="8" t="s">
        <v>16</v>
      </c>
      <c r="D112" s="9">
        <f>ROUND(9084613,2)</f>
        <v>9084613</v>
      </c>
      <c r="E112" s="9">
        <f t="shared" si="18"/>
        <v>0</v>
      </c>
      <c r="F112" s="9">
        <f t="shared" si="19"/>
        <v>0</v>
      </c>
      <c r="G112" s="9">
        <f t="shared" si="20"/>
        <v>9084613</v>
      </c>
      <c r="H112" s="9">
        <f t="shared" si="20"/>
        <v>9084613</v>
      </c>
      <c r="I112" s="9">
        <f t="shared" si="17"/>
        <v>0</v>
      </c>
      <c r="J112" s="9">
        <f t="shared" si="21"/>
        <v>0</v>
      </c>
      <c r="K112" s="9">
        <f>ROUND(9084613,2)</f>
        <v>9084613</v>
      </c>
    </row>
    <row r="113" spans="1:11" ht="124.5">
      <c r="A113" s="7" t="s">
        <v>151</v>
      </c>
      <c r="B113" s="8" t="s">
        <v>181</v>
      </c>
      <c r="C113" s="8" t="s">
        <v>344</v>
      </c>
      <c r="D113" s="9">
        <f>ROUND(2943326,2)</f>
        <v>2943326</v>
      </c>
      <c r="E113" s="9">
        <f t="shared" si="18"/>
        <v>0</v>
      </c>
      <c r="F113" s="9">
        <f t="shared" si="19"/>
        <v>0</v>
      </c>
      <c r="G113" s="9">
        <f aca="true" t="shared" si="22" ref="G113:H115">ROUND(2943326,2)</f>
        <v>2943326</v>
      </c>
      <c r="H113" s="9">
        <f t="shared" si="22"/>
        <v>2943326</v>
      </c>
      <c r="I113" s="9">
        <f t="shared" si="17"/>
        <v>0</v>
      </c>
      <c r="J113" s="9">
        <f t="shared" si="21"/>
        <v>0</v>
      </c>
      <c r="K113" s="9">
        <f>ROUND(2943326,2)</f>
        <v>2943326</v>
      </c>
    </row>
    <row r="114" spans="1:11" ht="113.25">
      <c r="A114" s="7" t="s">
        <v>174</v>
      </c>
      <c r="B114" s="8" t="s">
        <v>420</v>
      </c>
      <c r="C114" s="8" t="s">
        <v>51</v>
      </c>
      <c r="D114" s="9">
        <f>ROUND(2943326,2)</f>
        <v>2943326</v>
      </c>
      <c r="E114" s="9">
        <f t="shared" si="18"/>
        <v>0</v>
      </c>
      <c r="F114" s="9">
        <f t="shared" si="19"/>
        <v>0</v>
      </c>
      <c r="G114" s="9">
        <f t="shared" si="22"/>
        <v>2943326</v>
      </c>
      <c r="H114" s="9">
        <f t="shared" si="22"/>
        <v>2943326</v>
      </c>
      <c r="I114" s="9">
        <f t="shared" si="17"/>
        <v>0</v>
      </c>
      <c r="J114" s="9">
        <f t="shared" si="21"/>
        <v>0</v>
      </c>
      <c r="K114" s="9">
        <f>ROUND(2943326,2)</f>
        <v>2943326</v>
      </c>
    </row>
    <row r="115" spans="1:11" ht="79.5">
      <c r="A115" s="7" t="s">
        <v>361</v>
      </c>
      <c r="B115" s="8" t="s">
        <v>119</v>
      </c>
      <c r="C115" s="8" t="s">
        <v>405</v>
      </c>
      <c r="D115" s="9">
        <f>ROUND(2943326,2)</f>
        <v>2943326</v>
      </c>
      <c r="E115" s="9">
        <f t="shared" si="18"/>
        <v>0</v>
      </c>
      <c r="F115" s="9">
        <f t="shared" si="19"/>
        <v>0</v>
      </c>
      <c r="G115" s="9">
        <f t="shared" si="22"/>
        <v>2943326</v>
      </c>
      <c r="H115" s="9">
        <f t="shared" si="22"/>
        <v>2943326</v>
      </c>
      <c r="I115" s="9">
        <f t="shared" si="17"/>
        <v>0</v>
      </c>
      <c r="J115" s="9">
        <f t="shared" si="21"/>
        <v>0</v>
      </c>
      <c r="K115" s="9">
        <f>ROUND(2943326,2)</f>
        <v>2943326</v>
      </c>
    </row>
    <row r="116" spans="1:11" ht="45.75">
      <c r="A116" s="7" t="s">
        <v>345</v>
      </c>
      <c r="B116" s="8" t="s">
        <v>54</v>
      </c>
      <c r="C116" s="8" t="s">
        <v>350</v>
      </c>
      <c r="D116" s="9">
        <f>ROUND(15945938,2)</f>
        <v>15945938</v>
      </c>
      <c r="E116" s="9">
        <f t="shared" si="18"/>
        <v>0</v>
      </c>
      <c r="F116" s="9">
        <f>ROUND(15945938,2)</f>
        <v>15945938</v>
      </c>
      <c r="G116" s="9">
        <f>ROUND(0,2)</f>
        <v>0</v>
      </c>
      <c r="H116" s="9">
        <f>ROUND(4712999.03,2)</f>
        <v>4712999.03</v>
      </c>
      <c r="I116" s="9">
        <f t="shared" si="17"/>
        <v>0</v>
      </c>
      <c r="J116" s="9">
        <f>ROUND(4712999.03,2)</f>
        <v>4712999.03</v>
      </c>
      <c r="K116" s="9">
        <f>ROUND(0,2)</f>
        <v>0</v>
      </c>
    </row>
    <row r="117" spans="1:11" ht="57">
      <c r="A117" s="7" t="s">
        <v>229</v>
      </c>
      <c r="B117" s="8" t="s">
        <v>19</v>
      </c>
      <c r="C117" s="8" t="s">
        <v>462</v>
      </c>
      <c r="D117" s="9">
        <f>ROUND(15945938,2)</f>
        <v>15945938</v>
      </c>
      <c r="E117" s="9">
        <f t="shared" si="18"/>
        <v>0</v>
      </c>
      <c r="F117" s="9">
        <f>ROUND(15945938,2)</f>
        <v>15945938</v>
      </c>
      <c r="G117" s="9">
        <f>ROUND(0,2)</f>
        <v>0</v>
      </c>
      <c r="H117" s="9">
        <f>ROUND(4712999.03,2)</f>
        <v>4712999.03</v>
      </c>
      <c r="I117" s="9">
        <f t="shared" si="17"/>
        <v>0</v>
      </c>
      <c r="J117" s="9">
        <f>ROUND(4712999.03,2)</f>
        <v>4712999.03</v>
      </c>
      <c r="K117" s="9">
        <f>ROUND(0,2)</f>
        <v>0</v>
      </c>
    </row>
    <row r="118" spans="1:11" ht="23.25">
      <c r="A118" s="7" t="s">
        <v>307</v>
      </c>
      <c r="B118" s="8" t="s">
        <v>362</v>
      </c>
      <c r="C118" s="8" t="s">
        <v>25</v>
      </c>
      <c r="D118" s="9">
        <f>ROUND(14726290,2)</f>
        <v>14726290</v>
      </c>
      <c r="E118" s="9">
        <f>ROUND(10817773,2)</f>
        <v>10817773</v>
      </c>
      <c r="F118" s="9">
        <f>ROUND(14726290,2)</f>
        <v>14726290</v>
      </c>
      <c r="G118" s="9">
        <f>ROUND(10817773,2)</f>
        <v>10817773</v>
      </c>
      <c r="H118" s="9">
        <f>ROUND(4106640,2)</f>
        <v>4106640</v>
      </c>
      <c r="I118" s="9">
        <f>ROUND(564101,2)</f>
        <v>564101</v>
      </c>
      <c r="J118" s="9">
        <f>ROUND(4106640,2)</f>
        <v>4106640</v>
      </c>
      <c r="K118" s="9">
        <f>ROUND(564101,2)</f>
        <v>564101</v>
      </c>
    </row>
    <row r="119" spans="1:11" ht="34.5">
      <c r="A119" s="7" t="s">
        <v>326</v>
      </c>
      <c r="B119" s="8" t="s">
        <v>391</v>
      </c>
      <c r="C119" s="8" t="s">
        <v>358</v>
      </c>
      <c r="D119" s="9">
        <f>ROUND(14726290,2)</f>
        <v>14726290</v>
      </c>
      <c r="E119" s="9">
        <f>ROUND(0,2)</f>
        <v>0</v>
      </c>
      <c r="F119" s="9">
        <f>ROUND(14726290,2)</f>
        <v>14726290</v>
      </c>
      <c r="G119" s="9">
        <f>ROUND(0,2)</f>
        <v>0</v>
      </c>
      <c r="H119" s="9">
        <f>ROUND(4106640,2)</f>
        <v>4106640</v>
      </c>
      <c r="I119" s="9">
        <f>ROUND(0,2)</f>
        <v>0</v>
      </c>
      <c r="J119" s="9">
        <f>ROUND(4106640,2)</f>
        <v>4106640</v>
      </c>
      <c r="K119" s="9">
        <f>ROUND(0,2)</f>
        <v>0</v>
      </c>
    </row>
    <row r="120" spans="1:11" ht="23.25">
      <c r="A120" s="7" t="s">
        <v>73</v>
      </c>
      <c r="B120" s="8" t="s">
        <v>130</v>
      </c>
      <c r="C120" s="8" t="s">
        <v>82</v>
      </c>
      <c r="D120" s="9">
        <f>ROUND(0,2)</f>
        <v>0</v>
      </c>
      <c r="E120" s="9">
        <f>ROUND(10817773,2)</f>
        <v>10817773</v>
      </c>
      <c r="F120" s="9">
        <f>ROUND(0,2)</f>
        <v>0</v>
      </c>
      <c r="G120" s="9">
        <f>ROUND(10817773,2)</f>
        <v>10817773</v>
      </c>
      <c r="H120" s="9">
        <f>ROUND(0,2)</f>
        <v>0</v>
      </c>
      <c r="I120" s="9">
        <f>ROUND(564101,2)</f>
        <v>564101</v>
      </c>
      <c r="J120" s="9">
        <f>ROUND(0,2)</f>
        <v>0</v>
      </c>
      <c r="K120" s="9">
        <f>ROUND(564101,2)</f>
        <v>564101</v>
      </c>
    </row>
    <row r="121" spans="1:11" ht="57">
      <c r="A121" s="7" t="s">
        <v>328</v>
      </c>
      <c r="B121" s="8" t="s">
        <v>222</v>
      </c>
      <c r="C121" s="8" t="s">
        <v>279</v>
      </c>
      <c r="D121" s="9">
        <f>ROUND(214717800,2)</f>
        <v>214717800</v>
      </c>
      <c r="E121" s="9">
        <f aca="true" t="shared" si="23" ref="E121:E137">ROUND(0,2)</f>
        <v>0</v>
      </c>
      <c r="F121" s="9">
        <f>ROUND(212788900,2)</f>
        <v>212788900</v>
      </c>
      <c r="G121" s="9">
        <f>ROUND(1928900,2)</f>
        <v>1928900</v>
      </c>
      <c r="H121" s="9">
        <f>ROUND(110381290.3,2)</f>
        <v>110381290.3</v>
      </c>
      <c r="I121" s="9">
        <f aca="true" t="shared" si="24" ref="I121:I137">ROUND(0,2)</f>
        <v>0</v>
      </c>
      <c r="J121" s="9">
        <f>ROUND(108640848.67,2)</f>
        <v>108640848.67</v>
      </c>
      <c r="K121" s="9">
        <f>ROUND(1740441.63,2)</f>
        <v>1740441.63</v>
      </c>
    </row>
    <row r="122" spans="1:11" ht="68.25">
      <c r="A122" s="7" t="s">
        <v>414</v>
      </c>
      <c r="B122" s="8" t="s">
        <v>85</v>
      </c>
      <c r="C122" s="8" t="s">
        <v>76</v>
      </c>
      <c r="D122" s="9">
        <f>ROUND(1928900,2)</f>
        <v>1928900</v>
      </c>
      <c r="E122" s="9">
        <f t="shared" si="23"/>
        <v>0</v>
      </c>
      <c r="F122" s="9">
        <f>ROUND(0,2)</f>
        <v>0</v>
      </c>
      <c r="G122" s="9">
        <f>ROUND(1928900,2)</f>
        <v>1928900</v>
      </c>
      <c r="H122" s="9">
        <f>ROUND(1740441.63,2)</f>
        <v>1740441.63</v>
      </c>
      <c r="I122" s="9">
        <f t="shared" si="24"/>
        <v>0</v>
      </c>
      <c r="J122" s="9">
        <f>ROUND(0,2)</f>
        <v>0</v>
      </c>
      <c r="K122" s="9">
        <f>ROUND(1740441.63,2)</f>
        <v>1740441.63</v>
      </c>
    </row>
    <row r="123" spans="1:11" ht="79.5">
      <c r="A123" s="7" t="s">
        <v>275</v>
      </c>
      <c r="B123" s="8" t="s">
        <v>305</v>
      </c>
      <c r="C123" s="8" t="s">
        <v>197</v>
      </c>
      <c r="D123" s="9">
        <f>ROUND(1928900,2)</f>
        <v>1928900</v>
      </c>
      <c r="E123" s="9">
        <f t="shared" si="23"/>
        <v>0</v>
      </c>
      <c r="F123" s="9">
        <f>ROUND(0,2)</f>
        <v>0</v>
      </c>
      <c r="G123" s="9">
        <f>ROUND(1928900,2)</f>
        <v>1928900</v>
      </c>
      <c r="H123" s="9">
        <f>ROUND(1740441.63,2)</f>
        <v>1740441.63</v>
      </c>
      <c r="I123" s="9">
        <f t="shared" si="24"/>
        <v>0</v>
      </c>
      <c r="J123" s="9">
        <f>ROUND(0,2)</f>
        <v>0</v>
      </c>
      <c r="K123" s="9">
        <f>ROUND(1740441.63,2)</f>
        <v>1740441.63</v>
      </c>
    </row>
    <row r="124" spans="1:11" ht="68.25">
      <c r="A124" s="7" t="s">
        <v>203</v>
      </c>
      <c r="B124" s="8" t="s">
        <v>337</v>
      </c>
      <c r="C124" s="8" t="s">
        <v>430</v>
      </c>
      <c r="D124" s="9">
        <f>ROUND(251800,2)</f>
        <v>251800</v>
      </c>
      <c r="E124" s="9">
        <f t="shared" si="23"/>
        <v>0</v>
      </c>
      <c r="F124" s="9">
        <f>ROUND(251800,2)</f>
        <v>251800</v>
      </c>
      <c r="G124" s="9">
        <f aca="true" t="shared" si="25" ref="G124:G137">ROUND(0,2)</f>
        <v>0</v>
      </c>
      <c r="H124" s="9">
        <f>ROUND(62026.6,2)</f>
        <v>62026.6</v>
      </c>
      <c r="I124" s="9">
        <f t="shared" si="24"/>
        <v>0</v>
      </c>
      <c r="J124" s="9">
        <f>ROUND(62026.6,2)</f>
        <v>62026.6</v>
      </c>
      <c r="K124" s="9">
        <f aca="true" t="shared" si="26" ref="K124:K137">ROUND(0,2)</f>
        <v>0</v>
      </c>
    </row>
    <row r="125" spans="1:11" ht="90.75">
      <c r="A125" s="7" t="s">
        <v>74</v>
      </c>
      <c r="B125" s="8" t="s">
        <v>318</v>
      </c>
      <c r="C125" s="8" t="s">
        <v>296</v>
      </c>
      <c r="D125" s="9">
        <f>ROUND(251800,2)</f>
        <v>251800</v>
      </c>
      <c r="E125" s="9">
        <f t="shared" si="23"/>
        <v>0</v>
      </c>
      <c r="F125" s="9">
        <f>ROUND(251800,2)</f>
        <v>251800</v>
      </c>
      <c r="G125" s="9">
        <f t="shared" si="25"/>
        <v>0</v>
      </c>
      <c r="H125" s="9">
        <f>ROUND(62026.6,2)</f>
        <v>62026.6</v>
      </c>
      <c r="I125" s="9">
        <f t="shared" si="24"/>
        <v>0</v>
      </c>
      <c r="J125" s="9">
        <f>ROUND(62026.6,2)</f>
        <v>62026.6</v>
      </c>
      <c r="K125" s="9">
        <f t="shared" si="26"/>
        <v>0</v>
      </c>
    </row>
    <row r="126" spans="1:11" ht="68.25">
      <c r="A126" s="7" t="s">
        <v>22</v>
      </c>
      <c r="B126" s="8" t="s">
        <v>80</v>
      </c>
      <c r="C126" s="8" t="s">
        <v>206</v>
      </c>
      <c r="D126" s="9">
        <f>ROUND(2575000,2)</f>
        <v>2575000</v>
      </c>
      <c r="E126" s="9">
        <f t="shared" si="23"/>
        <v>0</v>
      </c>
      <c r="F126" s="9">
        <f>ROUND(2575000,2)</f>
        <v>2575000</v>
      </c>
      <c r="G126" s="9">
        <f t="shared" si="25"/>
        <v>0</v>
      </c>
      <c r="H126" s="9">
        <f>ROUND(1468686.08,2)</f>
        <v>1468686.08</v>
      </c>
      <c r="I126" s="9">
        <f t="shared" si="24"/>
        <v>0</v>
      </c>
      <c r="J126" s="9">
        <f>ROUND(1468686.08,2)</f>
        <v>1468686.08</v>
      </c>
      <c r="K126" s="9">
        <f t="shared" si="26"/>
        <v>0</v>
      </c>
    </row>
    <row r="127" spans="1:11" ht="68.25">
      <c r="A127" s="7" t="s">
        <v>242</v>
      </c>
      <c r="B127" s="8" t="s">
        <v>106</v>
      </c>
      <c r="C127" s="8" t="s">
        <v>226</v>
      </c>
      <c r="D127" s="9">
        <f>ROUND(2575000,2)</f>
        <v>2575000</v>
      </c>
      <c r="E127" s="9">
        <f t="shared" si="23"/>
        <v>0</v>
      </c>
      <c r="F127" s="9">
        <f>ROUND(2575000,2)</f>
        <v>2575000</v>
      </c>
      <c r="G127" s="9">
        <f t="shared" si="25"/>
        <v>0</v>
      </c>
      <c r="H127" s="9">
        <f>ROUND(1468686.08,2)</f>
        <v>1468686.08</v>
      </c>
      <c r="I127" s="9">
        <f t="shared" si="24"/>
        <v>0</v>
      </c>
      <c r="J127" s="9">
        <f>ROUND(1468686.08,2)</f>
        <v>1468686.08</v>
      </c>
      <c r="K127" s="9">
        <f t="shared" si="26"/>
        <v>0</v>
      </c>
    </row>
    <row r="128" spans="1:11" ht="57">
      <c r="A128" s="7" t="s">
        <v>134</v>
      </c>
      <c r="B128" s="8" t="s">
        <v>100</v>
      </c>
      <c r="C128" s="8" t="s">
        <v>105</v>
      </c>
      <c r="D128" s="9">
        <f>ROUND(56170000,2)</f>
        <v>56170000</v>
      </c>
      <c r="E128" s="9">
        <f t="shared" si="23"/>
        <v>0</v>
      </c>
      <c r="F128" s="9">
        <f>ROUND(56170000,2)</f>
        <v>56170000</v>
      </c>
      <c r="G128" s="9">
        <f t="shared" si="25"/>
        <v>0</v>
      </c>
      <c r="H128" s="9">
        <f>ROUND(28657356,2)</f>
        <v>28657356</v>
      </c>
      <c r="I128" s="9">
        <f t="shared" si="24"/>
        <v>0</v>
      </c>
      <c r="J128" s="9">
        <f>ROUND(28657356,2)</f>
        <v>28657356</v>
      </c>
      <c r="K128" s="9">
        <f t="shared" si="26"/>
        <v>0</v>
      </c>
    </row>
    <row r="129" spans="1:11" ht="68.25">
      <c r="A129" s="7" t="s">
        <v>347</v>
      </c>
      <c r="B129" s="8" t="s">
        <v>77</v>
      </c>
      <c r="C129" s="8" t="s">
        <v>315</v>
      </c>
      <c r="D129" s="9">
        <f>ROUND(56170000,2)</f>
        <v>56170000</v>
      </c>
      <c r="E129" s="9">
        <f t="shared" si="23"/>
        <v>0</v>
      </c>
      <c r="F129" s="9">
        <f>ROUND(56170000,2)</f>
        <v>56170000</v>
      </c>
      <c r="G129" s="9">
        <f t="shared" si="25"/>
        <v>0</v>
      </c>
      <c r="H129" s="9">
        <f>ROUND(28657356,2)</f>
        <v>28657356</v>
      </c>
      <c r="I129" s="9">
        <f t="shared" si="24"/>
        <v>0</v>
      </c>
      <c r="J129" s="9">
        <f>ROUND(28657356,2)</f>
        <v>28657356</v>
      </c>
      <c r="K129" s="9">
        <f t="shared" si="26"/>
        <v>0</v>
      </c>
    </row>
    <row r="130" spans="1:11" ht="147">
      <c r="A130" s="7" t="s">
        <v>78</v>
      </c>
      <c r="B130" s="8" t="s">
        <v>163</v>
      </c>
      <c r="C130" s="8" t="s">
        <v>464</v>
      </c>
      <c r="D130" s="9">
        <f>ROUND(2400000,2)</f>
        <v>2400000</v>
      </c>
      <c r="E130" s="9">
        <f t="shared" si="23"/>
        <v>0</v>
      </c>
      <c r="F130" s="9">
        <f>ROUND(2400000,2)</f>
        <v>2400000</v>
      </c>
      <c r="G130" s="9">
        <f t="shared" si="25"/>
        <v>0</v>
      </c>
      <c r="H130" s="9">
        <f>ROUND(0,2)</f>
        <v>0</v>
      </c>
      <c r="I130" s="9">
        <f t="shared" si="24"/>
        <v>0</v>
      </c>
      <c r="J130" s="9">
        <f>ROUND(0,2)</f>
        <v>0</v>
      </c>
      <c r="K130" s="9">
        <f t="shared" si="26"/>
        <v>0</v>
      </c>
    </row>
    <row r="131" spans="1:11" ht="135.75">
      <c r="A131" s="7" t="s">
        <v>264</v>
      </c>
      <c r="B131" s="8" t="s">
        <v>129</v>
      </c>
      <c r="C131" s="8" t="s">
        <v>141</v>
      </c>
      <c r="D131" s="9">
        <f>ROUND(2400000,2)</f>
        <v>2400000</v>
      </c>
      <c r="E131" s="9">
        <f t="shared" si="23"/>
        <v>0</v>
      </c>
      <c r="F131" s="9">
        <f>ROUND(2400000,2)</f>
        <v>2400000</v>
      </c>
      <c r="G131" s="9">
        <f t="shared" si="25"/>
        <v>0</v>
      </c>
      <c r="H131" s="9">
        <f>ROUND(0,2)</f>
        <v>0</v>
      </c>
      <c r="I131" s="9">
        <f t="shared" si="24"/>
        <v>0</v>
      </c>
      <c r="J131" s="9">
        <f>ROUND(0,2)</f>
        <v>0</v>
      </c>
      <c r="K131" s="9">
        <f t="shared" si="26"/>
        <v>0</v>
      </c>
    </row>
    <row r="132" spans="1:11" ht="102">
      <c r="A132" s="7" t="s">
        <v>274</v>
      </c>
      <c r="B132" s="8" t="s">
        <v>352</v>
      </c>
      <c r="C132" s="8" t="s">
        <v>149</v>
      </c>
      <c r="D132" s="9">
        <f>ROUND(9726000,2)</f>
        <v>9726000</v>
      </c>
      <c r="E132" s="9">
        <f t="shared" si="23"/>
        <v>0</v>
      </c>
      <c r="F132" s="9">
        <f>ROUND(9726000,2)</f>
        <v>9726000</v>
      </c>
      <c r="G132" s="9">
        <f t="shared" si="25"/>
        <v>0</v>
      </c>
      <c r="H132" s="9">
        <f>ROUND(4912981.67,2)</f>
        <v>4912981.67</v>
      </c>
      <c r="I132" s="9">
        <f t="shared" si="24"/>
        <v>0</v>
      </c>
      <c r="J132" s="9">
        <f>ROUND(4912981.67,2)</f>
        <v>4912981.67</v>
      </c>
      <c r="K132" s="9">
        <f t="shared" si="26"/>
        <v>0</v>
      </c>
    </row>
    <row r="133" spans="1:11" ht="90.75">
      <c r="A133" s="7" t="s">
        <v>176</v>
      </c>
      <c r="B133" s="8" t="s">
        <v>384</v>
      </c>
      <c r="C133" s="8" t="s">
        <v>154</v>
      </c>
      <c r="D133" s="9">
        <f>ROUND(9726000,2)</f>
        <v>9726000</v>
      </c>
      <c r="E133" s="9">
        <f t="shared" si="23"/>
        <v>0</v>
      </c>
      <c r="F133" s="9">
        <f>ROUND(9726000,2)</f>
        <v>9726000</v>
      </c>
      <c r="G133" s="9">
        <f t="shared" si="25"/>
        <v>0</v>
      </c>
      <c r="H133" s="9">
        <f>ROUND(4912981.67,2)</f>
        <v>4912981.67</v>
      </c>
      <c r="I133" s="9">
        <f t="shared" si="24"/>
        <v>0</v>
      </c>
      <c r="J133" s="9">
        <f>ROUND(4912981.67,2)</f>
        <v>4912981.67</v>
      </c>
      <c r="K133" s="9">
        <f t="shared" si="26"/>
        <v>0</v>
      </c>
    </row>
    <row r="134" spans="1:11" ht="158.25">
      <c r="A134" s="7" t="s">
        <v>202</v>
      </c>
      <c r="B134" s="8" t="s">
        <v>184</v>
      </c>
      <c r="C134" s="8" t="s">
        <v>294</v>
      </c>
      <c r="D134" s="9">
        <f>ROUND(1762000,2)</f>
        <v>1762000</v>
      </c>
      <c r="E134" s="9">
        <f t="shared" si="23"/>
        <v>0</v>
      </c>
      <c r="F134" s="9">
        <f>ROUND(1762000,2)</f>
        <v>1762000</v>
      </c>
      <c r="G134" s="9">
        <f t="shared" si="25"/>
        <v>0</v>
      </c>
      <c r="H134" s="9">
        <f>ROUND(953398.32,2)</f>
        <v>953398.32</v>
      </c>
      <c r="I134" s="9">
        <f t="shared" si="24"/>
        <v>0</v>
      </c>
      <c r="J134" s="9">
        <f>ROUND(953398.32,2)</f>
        <v>953398.32</v>
      </c>
      <c r="K134" s="9">
        <f t="shared" si="26"/>
        <v>0</v>
      </c>
    </row>
    <row r="135" spans="1:11" ht="135.75">
      <c r="A135" s="7" t="s">
        <v>371</v>
      </c>
      <c r="B135" s="8" t="s">
        <v>212</v>
      </c>
      <c r="C135" s="8" t="s">
        <v>140</v>
      </c>
      <c r="D135" s="9">
        <f>ROUND(1762000,2)</f>
        <v>1762000</v>
      </c>
      <c r="E135" s="9">
        <f t="shared" si="23"/>
        <v>0</v>
      </c>
      <c r="F135" s="9">
        <f>ROUND(1762000,2)</f>
        <v>1762000</v>
      </c>
      <c r="G135" s="9">
        <f t="shared" si="25"/>
        <v>0</v>
      </c>
      <c r="H135" s="9">
        <f>ROUND(953398.32,2)</f>
        <v>953398.32</v>
      </c>
      <c r="I135" s="9">
        <f t="shared" si="24"/>
        <v>0</v>
      </c>
      <c r="J135" s="9">
        <f>ROUND(953398.32,2)</f>
        <v>953398.32</v>
      </c>
      <c r="K135" s="9">
        <f t="shared" si="26"/>
        <v>0</v>
      </c>
    </row>
    <row r="136" spans="1:11" ht="23.25">
      <c r="A136" s="7" t="s">
        <v>348</v>
      </c>
      <c r="B136" s="8" t="s">
        <v>268</v>
      </c>
      <c r="C136" s="8" t="s">
        <v>93</v>
      </c>
      <c r="D136" s="9">
        <f>ROUND(139904100,2)</f>
        <v>139904100</v>
      </c>
      <c r="E136" s="9">
        <f t="shared" si="23"/>
        <v>0</v>
      </c>
      <c r="F136" s="9">
        <f>ROUND(139904100,2)</f>
        <v>139904100</v>
      </c>
      <c r="G136" s="9">
        <f t="shared" si="25"/>
        <v>0</v>
      </c>
      <c r="H136" s="9">
        <f>ROUND(72586400,2)</f>
        <v>72586400</v>
      </c>
      <c r="I136" s="9">
        <f t="shared" si="24"/>
        <v>0</v>
      </c>
      <c r="J136" s="9">
        <f>ROUND(72586400,2)</f>
        <v>72586400</v>
      </c>
      <c r="K136" s="9">
        <f t="shared" si="26"/>
        <v>0</v>
      </c>
    </row>
    <row r="137" spans="1:11" ht="34.5">
      <c r="A137" s="7" t="s">
        <v>432</v>
      </c>
      <c r="B137" s="8" t="s">
        <v>241</v>
      </c>
      <c r="C137" s="8" t="s">
        <v>429</v>
      </c>
      <c r="D137" s="9">
        <f>ROUND(139904100,2)</f>
        <v>139904100</v>
      </c>
      <c r="E137" s="9">
        <f t="shared" si="23"/>
        <v>0</v>
      </c>
      <c r="F137" s="9">
        <f>ROUND(139904100,2)</f>
        <v>139904100</v>
      </c>
      <c r="G137" s="9">
        <f t="shared" si="25"/>
        <v>0</v>
      </c>
      <c r="H137" s="9">
        <f>ROUND(72586400,2)</f>
        <v>72586400</v>
      </c>
      <c r="I137" s="9">
        <f t="shared" si="24"/>
        <v>0</v>
      </c>
      <c r="J137" s="9">
        <f>ROUND(72586400,2)</f>
        <v>72586400</v>
      </c>
      <c r="K137" s="9">
        <f t="shared" si="26"/>
        <v>0</v>
      </c>
    </row>
    <row r="138" spans="1:11" ht="23.25">
      <c r="A138" s="7" t="s">
        <v>289</v>
      </c>
      <c r="B138" s="8" t="s">
        <v>88</v>
      </c>
      <c r="C138" s="8" t="s">
        <v>8</v>
      </c>
      <c r="D138" s="9">
        <f>ROUND(751765,2)</f>
        <v>751765</v>
      </c>
      <c r="E138" s="9">
        <f>ROUND(44213015,2)</f>
        <v>44213015</v>
      </c>
      <c r="F138" s="9">
        <f>ROUND(751765,2)</f>
        <v>751765</v>
      </c>
      <c r="G138" s="9">
        <f>ROUND(44213015,2)</f>
        <v>44213015</v>
      </c>
      <c r="H138" s="9">
        <f>ROUND(504140,2)</f>
        <v>504140</v>
      </c>
      <c r="I138" s="9">
        <f>ROUND(21851168.22,2)</f>
        <v>21851168.22</v>
      </c>
      <c r="J138" s="9">
        <f>ROUND(504140,2)</f>
        <v>504140</v>
      </c>
      <c r="K138" s="9">
        <f>ROUND(21851168.22,2)</f>
        <v>21851168.22</v>
      </c>
    </row>
    <row r="139" spans="1:11" ht="102">
      <c r="A139" s="7" t="s">
        <v>339</v>
      </c>
      <c r="B139" s="8" t="s">
        <v>34</v>
      </c>
      <c r="C139" s="8" t="s">
        <v>349</v>
      </c>
      <c r="D139" s="9">
        <f>ROUND(504140,2)</f>
        <v>504140</v>
      </c>
      <c r="E139" s="9">
        <f>ROUND(35000,2)</f>
        <v>35000</v>
      </c>
      <c r="F139" s="9">
        <f>ROUND(504140,2)</f>
        <v>504140</v>
      </c>
      <c r="G139" s="9">
        <f>ROUND(35000,2)</f>
        <v>35000</v>
      </c>
      <c r="H139" s="9">
        <f>ROUND(504140,2)</f>
        <v>504140</v>
      </c>
      <c r="I139" s="9">
        <f>ROUND(35000,2)</f>
        <v>35000</v>
      </c>
      <c r="J139" s="9">
        <f>ROUND(504140,2)</f>
        <v>504140</v>
      </c>
      <c r="K139" s="9">
        <f>ROUND(35000,2)</f>
        <v>35000</v>
      </c>
    </row>
    <row r="140" spans="1:11" ht="113.25">
      <c r="A140" s="7" t="s">
        <v>143</v>
      </c>
      <c r="B140" s="8" t="s">
        <v>4</v>
      </c>
      <c r="C140" s="8" t="s">
        <v>385</v>
      </c>
      <c r="D140" s="9">
        <f>ROUND(504140,2)</f>
        <v>504140</v>
      </c>
      <c r="E140" s="9">
        <f>ROUND(0,2)</f>
        <v>0</v>
      </c>
      <c r="F140" s="9">
        <f>ROUND(504140,2)</f>
        <v>504140</v>
      </c>
      <c r="G140" s="9">
        <f>ROUND(0,2)</f>
        <v>0</v>
      </c>
      <c r="H140" s="9">
        <f>ROUND(504140,2)</f>
        <v>504140</v>
      </c>
      <c r="I140" s="9">
        <f>ROUND(0,2)</f>
        <v>0</v>
      </c>
      <c r="J140" s="9">
        <f>ROUND(504140,2)</f>
        <v>504140</v>
      </c>
      <c r="K140" s="9">
        <f>ROUND(0,2)</f>
        <v>0</v>
      </c>
    </row>
    <row r="141" spans="1:11" ht="113.25">
      <c r="A141" s="7" t="s">
        <v>456</v>
      </c>
      <c r="B141" s="8" t="s">
        <v>267</v>
      </c>
      <c r="C141" s="8" t="s">
        <v>59</v>
      </c>
      <c r="D141" s="9">
        <f>ROUND(0,2)</f>
        <v>0</v>
      </c>
      <c r="E141" s="9">
        <f>ROUND(35000,2)</f>
        <v>35000</v>
      </c>
      <c r="F141" s="9">
        <f>ROUND(0,2)</f>
        <v>0</v>
      </c>
      <c r="G141" s="9">
        <f>ROUND(35000,2)</f>
        <v>35000</v>
      </c>
      <c r="H141" s="9">
        <f aca="true" t="shared" si="27" ref="H141:H149">ROUND(0,2)</f>
        <v>0</v>
      </c>
      <c r="I141" s="9">
        <f>ROUND(35000,2)</f>
        <v>35000</v>
      </c>
      <c r="J141" s="9">
        <f aca="true" t="shared" si="28" ref="J141:J149">ROUND(0,2)</f>
        <v>0</v>
      </c>
      <c r="K141" s="9">
        <f>ROUND(35000,2)</f>
        <v>35000</v>
      </c>
    </row>
    <row r="142" spans="1:11" ht="124.5">
      <c r="A142" s="7" t="s">
        <v>179</v>
      </c>
      <c r="B142" s="8" t="s">
        <v>448</v>
      </c>
      <c r="C142" s="8" t="s">
        <v>193</v>
      </c>
      <c r="D142" s="9">
        <f>ROUND(0,2)</f>
        <v>0</v>
      </c>
      <c r="E142" s="9">
        <f>ROUND(43930390,2)</f>
        <v>43930390</v>
      </c>
      <c r="F142" s="9">
        <f>ROUND(0,2)</f>
        <v>0</v>
      </c>
      <c r="G142" s="9">
        <f>ROUND(43930390,2)</f>
        <v>43930390</v>
      </c>
      <c r="H142" s="9">
        <f t="shared" si="27"/>
        <v>0</v>
      </c>
      <c r="I142" s="9">
        <f>ROUND(21816168.22,2)</f>
        <v>21816168.22</v>
      </c>
      <c r="J142" s="9">
        <f t="shared" si="28"/>
        <v>0</v>
      </c>
      <c r="K142" s="9">
        <f>ROUND(21816168.22,2)</f>
        <v>21816168.22</v>
      </c>
    </row>
    <row r="143" spans="1:11" ht="124.5">
      <c r="A143" s="7" t="s">
        <v>153</v>
      </c>
      <c r="B143" s="8" t="s">
        <v>210</v>
      </c>
      <c r="C143" s="8" t="s">
        <v>334</v>
      </c>
      <c r="D143" s="9">
        <f>ROUND(0,2)</f>
        <v>0</v>
      </c>
      <c r="E143" s="9">
        <f>ROUND(43930390,2)</f>
        <v>43930390</v>
      </c>
      <c r="F143" s="9">
        <f>ROUND(0,2)</f>
        <v>0</v>
      </c>
      <c r="G143" s="9">
        <f>ROUND(43930390,2)</f>
        <v>43930390</v>
      </c>
      <c r="H143" s="9">
        <f t="shared" si="27"/>
        <v>0</v>
      </c>
      <c r="I143" s="9">
        <f>ROUND(21816168.22,2)</f>
        <v>21816168.22</v>
      </c>
      <c r="J143" s="9">
        <f t="shared" si="28"/>
        <v>0</v>
      </c>
      <c r="K143" s="9">
        <f>ROUND(21816168.22,2)</f>
        <v>21816168.22</v>
      </c>
    </row>
    <row r="144" spans="1:11" ht="124.5">
      <c r="A144" s="7" t="s">
        <v>165</v>
      </c>
      <c r="B144" s="8" t="s">
        <v>402</v>
      </c>
      <c r="C144" s="8" t="s">
        <v>213</v>
      </c>
      <c r="D144" s="9">
        <f>ROUND(146200,2)</f>
        <v>146200</v>
      </c>
      <c r="E144" s="9">
        <f>ROUND(146200,2)</f>
        <v>146200</v>
      </c>
      <c r="F144" s="9">
        <f>ROUND(146200,2)</f>
        <v>146200</v>
      </c>
      <c r="G144" s="9">
        <f>ROUND(146200,2)</f>
        <v>146200</v>
      </c>
      <c r="H144" s="9">
        <f t="shared" si="27"/>
        <v>0</v>
      </c>
      <c r="I144" s="9">
        <f aca="true" t="shared" si="29" ref="I144:I154">ROUND(0,2)</f>
        <v>0</v>
      </c>
      <c r="J144" s="9">
        <f t="shared" si="28"/>
        <v>0</v>
      </c>
      <c r="K144" s="9">
        <f aca="true" t="shared" si="30" ref="K144:K149">ROUND(0,2)</f>
        <v>0</v>
      </c>
    </row>
    <row r="145" spans="1:11" ht="90.75">
      <c r="A145" s="7" t="s">
        <v>116</v>
      </c>
      <c r="B145" s="8" t="s">
        <v>438</v>
      </c>
      <c r="C145" s="8" t="s">
        <v>223</v>
      </c>
      <c r="D145" s="9">
        <f>ROUND(146200,2)</f>
        <v>146200</v>
      </c>
      <c r="E145" s="9">
        <f>ROUND(0,2)</f>
        <v>0</v>
      </c>
      <c r="F145" s="9">
        <f>ROUND(146200,2)</f>
        <v>146200</v>
      </c>
      <c r="G145" s="9">
        <f>ROUND(0,2)</f>
        <v>0</v>
      </c>
      <c r="H145" s="9">
        <f t="shared" si="27"/>
        <v>0</v>
      </c>
      <c r="I145" s="9">
        <f t="shared" si="29"/>
        <v>0</v>
      </c>
      <c r="J145" s="9">
        <f t="shared" si="28"/>
        <v>0</v>
      </c>
      <c r="K145" s="9">
        <f t="shared" si="30"/>
        <v>0</v>
      </c>
    </row>
    <row r="146" spans="1:11" ht="90.75">
      <c r="A146" s="7" t="s">
        <v>380</v>
      </c>
      <c r="B146" s="8" t="s">
        <v>188</v>
      </c>
      <c r="C146" s="8" t="s">
        <v>208</v>
      </c>
      <c r="D146" s="9">
        <f>ROUND(0,2)</f>
        <v>0</v>
      </c>
      <c r="E146" s="9">
        <f>ROUND(146200,2)</f>
        <v>146200</v>
      </c>
      <c r="F146" s="9">
        <f>ROUND(0,2)</f>
        <v>0</v>
      </c>
      <c r="G146" s="9">
        <f>ROUND(146200,2)</f>
        <v>146200</v>
      </c>
      <c r="H146" s="9">
        <f t="shared" si="27"/>
        <v>0</v>
      </c>
      <c r="I146" s="9">
        <f t="shared" si="29"/>
        <v>0</v>
      </c>
      <c r="J146" s="9">
        <f t="shared" si="28"/>
        <v>0</v>
      </c>
      <c r="K146" s="9">
        <f t="shared" si="30"/>
        <v>0</v>
      </c>
    </row>
    <row r="147" spans="1:11" ht="34.5">
      <c r="A147" s="7" t="s">
        <v>97</v>
      </c>
      <c r="B147" s="8" t="s">
        <v>400</v>
      </c>
      <c r="C147" s="8" t="s">
        <v>32</v>
      </c>
      <c r="D147" s="9">
        <f>ROUND(101425,2)</f>
        <v>101425</v>
      </c>
      <c r="E147" s="9">
        <f>ROUND(101425,2)</f>
        <v>101425</v>
      </c>
      <c r="F147" s="9">
        <f>ROUND(101425,2)</f>
        <v>101425</v>
      </c>
      <c r="G147" s="9">
        <f>ROUND(101425,2)</f>
        <v>101425</v>
      </c>
      <c r="H147" s="9">
        <f t="shared" si="27"/>
        <v>0</v>
      </c>
      <c r="I147" s="9">
        <f t="shared" si="29"/>
        <v>0</v>
      </c>
      <c r="J147" s="9">
        <f t="shared" si="28"/>
        <v>0</v>
      </c>
      <c r="K147" s="9">
        <f t="shared" si="30"/>
        <v>0</v>
      </c>
    </row>
    <row r="148" spans="1:11" ht="45.75">
      <c r="A148" s="7" t="s">
        <v>41</v>
      </c>
      <c r="B148" s="8" t="s">
        <v>367</v>
      </c>
      <c r="C148" s="8" t="s">
        <v>343</v>
      </c>
      <c r="D148" s="9">
        <f>ROUND(101425,2)</f>
        <v>101425</v>
      </c>
      <c r="E148" s="9">
        <f>ROUND(0,2)</f>
        <v>0</v>
      </c>
      <c r="F148" s="9">
        <f>ROUND(101425,2)</f>
        <v>101425</v>
      </c>
      <c r="G148" s="9">
        <f>ROUND(0,2)</f>
        <v>0</v>
      </c>
      <c r="H148" s="9">
        <f t="shared" si="27"/>
        <v>0</v>
      </c>
      <c r="I148" s="9">
        <f t="shared" si="29"/>
        <v>0</v>
      </c>
      <c r="J148" s="9">
        <f t="shared" si="28"/>
        <v>0</v>
      </c>
      <c r="K148" s="9">
        <f t="shared" si="30"/>
        <v>0</v>
      </c>
    </row>
    <row r="149" spans="1:11" ht="45.75">
      <c r="A149" s="7" t="s">
        <v>246</v>
      </c>
      <c r="B149" s="8" t="s">
        <v>167</v>
      </c>
      <c r="C149" s="8" t="s">
        <v>113</v>
      </c>
      <c r="D149" s="9">
        <f>ROUND(0,2)</f>
        <v>0</v>
      </c>
      <c r="E149" s="9">
        <f>ROUND(101425,2)</f>
        <v>101425</v>
      </c>
      <c r="F149" s="9">
        <f>ROUND(0,2)</f>
        <v>0</v>
      </c>
      <c r="G149" s="9">
        <f>ROUND(101425,2)</f>
        <v>101425</v>
      </c>
      <c r="H149" s="9">
        <f t="shared" si="27"/>
        <v>0</v>
      </c>
      <c r="I149" s="9">
        <f t="shared" si="29"/>
        <v>0</v>
      </c>
      <c r="J149" s="9">
        <f t="shared" si="28"/>
        <v>0</v>
      </c>
      <c r="K149" s="9">
        <f t="shared" si="30"/>
        <v>0</v>
      </c>
    </row>
    <row r="150" spans="1:11" ht="23.25">
      <c r="A150" s="7" t="s">
        <v>439</v>
      </c>
      <c r="B150" s="8" t="s">
        <v>144</v>
      </c>
      <c r="C150" s="8" t="s">
        <v>394</v>
      </c>
      <c r="D150" s="9">
        <f>ROUND(31685200,2)</f>
        <v>31685200</v>
      </c>
      <c r="E150" s="9">
        <f>ROUND(0,2)</f>
        <v>0</v>
      </c>
      <c r="F150" s="9">
        <f>ROUND(31620200,2)</f>
        <v>31620200</v>
      </c>
      <c r="G150" s="9">
        <f>ROUND(65000,2)</f>
        <v>65000</v>
      </c>
      <c r="H150" s="9">
        <f>ROUND(532152.71,2)</f>
        <v>532152.71</v>
      </c>
      <c r="I150" s="9">
        <f t="shared" si="29"/>
        <v>0</v>
      </c>
      <c r="J150" s="9">
        <f>ROUND(468549.17,2)</f>
        <v>468549.17</v>
      </c>
      <c r="K150" s="9">
        <f>ROUND(63603.54,2)</f>
        <v>63603.54</v>
      </c>
    </row>
    <row r="151" spans="1:11" ht="34.5">
      <c r="A151" s="7" t="s">
        <v>91</v>
      </c>
      <c r="B151" s="8" t="s">
        <v>413</v>
      </c>
      <c r="C151" s="8" t="s">
        <v>12</v>
      </c>
      <c r="D151" s="9">
        <f>ROUND(31620200,2)</f>
        <v>31620200</v>
      </c>
      <c r="E151" s="9">
        <f>ROUND(0,2)</f>
        <v>0</v>
      </c>
      <c r="F151" s="9">
        <f>ROUND(31620200,2)</f>
        <v>31620200</v>
      </c>
      <c r="G151" s="9">
        <f>ROUND(0,2)</f>
        <v>0</v>
      </c>
      <c r="H151" s="9">
        <f>ROUND(468549.17,2)</f>
        <v>468549.17</v>
      </c>
      <c r="I151" s="9">
        <f t="shared" si="29"/>
        <v>0</v>
      </c>
      <c r="J151" s="9">
        <f>ROUND(468549.17,2)</f>
        <v>468549.17</v>
      </c>
      <c r="K151" s="9">
        <f>ROUND(0,2)</f>
        <v>0</v>
      </c>
    </row>
    <row r="152" spans="1:11" ht="34.5">
      <c r="A152" s="7" t="s">
        <v>299</v>
      </c>
      <c r="B152" s="8" t="s">
        <v>209</v>
      </c>
      <c r="C152" s="8" t="s">
        <v>303</v>
      </c>
      <c r="D152" s="9">
        <f>ROUND(65000,2)</f>
        <v>65000</v>
      </c>
      <c r="E152" s="9">
        <f>ROUND(0,2)</f>
        <v>0</v>
      </c>
      <c r="F152" s="9">
        <f>ROUND(0,2)</f>
        <v>0</v>
      </c>
      <c r="G152" s="9">
        <f>ROUND(65000,2)</f>
        <v>65000</v>
      </c>
      <c r="H152" s="9">
        <f>ROUND(63603.54,2)</f>
        <v>63603.54</v>
      </c>
      <c r="I152" s="9">
        <f t="shared" si="29"/>
        <v>0</v>
      </c>
      <c r="J152" s="9">
        <f>ROUND(0,2)</f>
        <v>0</v>
      </c>
      <c r="K152" s="9">
        <f>ROUND(63603.54,2)</f>
        <v>63603.54</v>
      </c>
    </row>
    <row r="153" spans="1:11" ht="68.25">
      <c r="A153" s="7" t="s">
        <v>359</v>
      </c>
      <c r="B153" s="8" t="s">
        <v>21</v>
      </c>
      <c r="C153" s="8" t="s">
        <v>428</v>
      </c>
      <c r="D153" s="9">
        <f>ROUND(0,2)</f>
        <v>0</v>
      </c>
      <c r="E153" s="9">
        <f>ROUND(0,2)</f>
        <v>0</v>
      </c>
      <c r="F153" s="9">
        <f>ROUND(0,2)</f>
        <v>0</v>
      </c>
      <c r="G153" s="9">
        <f>ROUND(0,2)</f>
        <v>0</v>
      </c>
      <c r="H153" s="9">
        <f>ROUND(-913551.39,2)</f>
        <v>-913551.39</v>
      </c>
      <c r="I153" s="9">
        <f t="shared" si="29"/>
        <v>0</v>
      </c>
      <c r="J153" s="9">
        <f>ROUND(-913551.39,2)</f>
        <v>-913551.39</v>
      </c>
      <c r="K153" s="9">
        <f>ROUND(0,2)</f>
        <v>0</v>
      </c>
    </row>
    <row r="154" spans="1:11" ht="79.5">
      <c r="A154" s="7" t="s">
        <v>123</v>
      </c>
      <c r="B154" s="8" t="s">
        <v>121</v>
      </c>
      <c r="C154" s="8" t="s">
        <v>146</v>
      </c>
      <c r="D154" s="9">
        <f>ROUND(0,2)</f>
        <v>0</v>
      </c>
      <c r="E154" s="9">
        <f>ROUND(0,2)</f>
        <v>0</v>
      </c>
      <c r="F154" s="9">
        <f>ROUND(0,2)</f>
        <v>0</v>
      </c>
      <c r="G154" s="9">
        <f>ROUND(0,2)</f>
        <v>0</v>
      </c>
      <c r="H154" s="9">
        <f>ROUND(-913551.39,2)</f>
        <v>-913551.39</v>
      </c>
      <c r="I154" s="9">
        <f t="shared" si="29"/>
        <v>0</v>
      </c>
      <c r="J154" s="9">
        <f>ROUND(-913551.39,2)</f>
        <v>-913551.39</v>
      </c>
      <c r="K154" s="9">
        <f>ROUND(0,2)</f>
        <v>0</v>
      </c>
    </row>
    <row r="155" spans="1:11" ht="12.75">
      <c r="A155" s="2" t="s">
        <v>336</v>
      </c>
      <c r="B155" s="3"/>
      <c r="C155" s="3"/>
      <c r="D155" s="3"/>
      <c r="E155" s="2" t="s">
        <v>336</v>
      </c>
      <c r="F155" s="3"/>
      <c r="G155" s="3"/>
      <c r="H155" s="3"/>
      <c r="I155" s="2" t="s">
        <v>336</v>
      </c>
      <c r="J155" s="3"/>
      <c r="K155" s="3"/>
    </row>
    <row r="156" spans="1:11" ht="15">
      <c r="A156" s="10" t="s">
        <v>466</v>
      </c>
      <c r="B156" s="11"/>
      <c r="C156" s="11"/>
      <c r="D156" s="11"/>
      <c r="E156" s="12" t="s">
        <v>196</v>
      </c>
      <c r="F156" s="11"/>
      <c r="G156" s="11"/>
      <c r="H156" s="11"/>
      <c r="I156" s="13" t="s">
        <v>468</v>
      </c>
      <c r="J156" s="11"/>
      <c r="K156" s="11"/>
    </row>
    <row r="157" spans="1:11" ht="15">
      <c r="A157" s="10" t="s">
        <v>336</v>
      </c>
      <c r="B157" s="11"/>
      <c r="C157" s="11"/>
      <c r="D157" s="11"/>
      <c r="E157" s="10" t="s">
        <v>336</v>
      </c>
      <c r="F157" s="11"/>
      <c r="G157" s="11"/>
      <c r="H157" s="11"/>
      <c r="I157" s="14" t="s">
        <v>336</v>
      </c>
      <c r="J157" s="11"/>
      <c r="K157" s="11"/>
    </row>
    <row r="158" spans="1:11" ht="15">
      <c r="A158" s="10" t="s">
        <v>467</v>
      </c>
      <c r="B158" s="11"/>
      <c r="C158" s="11"/>
      <c r="D158" s="11"/>
      <c r="E158" s="12" t="s">
        <v>196</v>
      </c>
      <c r="F158" s="11"/>
      <c r="G158" s="11"/>
      <c r="H158" s="11"/>
      <c r="I158" s="13" t="s">
        <v>469</v>
      </c>
      <c r="J158" s="11"/>
      <c r="K158" s="11"/>
    </row>
  </sheetData>
  <mergeCells count="21">
    <mergeCell ref="I156:K156"/>
    <mergeCell ref="I157:K157"/>
    <mergeCell ref="I158:K158"/>
    <mergeCell ref="A156:D156"/>
    <mergeCell ref="A157:D157"/>
    <mergeCell ref="A158:D158"/>
    <mergeCell ref="E155:H155"/>
    <mergeCell ref="E156:H156"/>
    <mergeCell ref="E157:H157"/>
    <mergeCell ref="E158:H158"/>
    <mergeCell ref="I1:K1"/>
    <mergeCell ref="I2:K2"/>
    <mergeCell ref="I3:K3"/>
    <mergeCell ref="A155:D155"/>
    <mergeCell ref="I155:K155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5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2012-07-12T05:53:51Z</cp:lastPrinted>
  <dcterms:created xsi:type="dcterms:W3CDTF">2012-07-12T05:54:29Z</dcterms:created>
  <dcterms:modified xsi:type="dcterms:W3CDTF">2012-07-12T05:54:29Z</dcterms:modified>
  <cp:category/>
  <cp:version/>
  <cp:contentType/>
  <cp:contentStatus/>
</cp:coreProperties>
</file>